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irectia Relatii Publice\Serviciul Comunicare\Playground\de citit\consultare\2018.10.01 consultare tarife acces NETCITY\"/>
    </mc:Choice>
  </mc:AlternateContent>
  <bookViews>
    <workbookView xWindow="0" yWindow="0" windowWidth="23040" windowHeight="8490" tabRatio="911" firstSheet="1" activeTab="1"/>
  </bookViews>
  <sheets>
    <sheet name="_TM_Summary" sheetId="27" state="veryHidden" r:id="rId1"/>
    <sheet name="Sumar" sheetId="26" r:id="rId2"/>
    <sheet name="Matrice de alocare" sheetId="30" r:id="rId3"/>
    <sheet name="Ipoteze de lucru" sheetId="15" r:id="rId4"/>
    <sheet name="1. CAPEX" sheetId="35" r:id="rId5"/>
    <sheet name="3. OPEX 2017" sheetId="17" r:id="rId6"/>
    <sheet name="4. Capacitati de retea" sheetId="9" r:id="rId7"/>
    <sheet name="_TM_Volumes" sheetId="28" state="veryHidden" r:id="rId8"/>
    <sheet name="OPEX" sheetId="48" r:id="rId9"/>
    <sheet name="CAPEX 2013" sheetId="55" r:id="rId10"/>
    <sheet name="Capacitati 2017" sheetId="58" r:id="rId11"/>
    <sheet name="Alte servicii" sheetId="38" r:id="rId12"/>
    <sheet name="Materiale" sheetId="54" r:id="rId13"/>
  </sheets>
  <definedNames>
    <definedName name="constant">'Ipoteze de lucru'!$F$14</definedName>
    <definedName name="LIMBA">Sumar!#REF!</definedName>
    <definedName name="max">'Ipoteze de lucru'!$F$24</definedName>
    <definedName name="_xlnm.Print_Area" localSheetId="4">'1. CAPEX'!$A$1:$P$94</definedName>
    <definedName name="RF">'Ipoteze de lucru'!$F$20</definedName>
    <definedName name="SSP">'Ipoteze de lucru'!$F$22</definedName>
  </definedNames>
  <calcPr calcId="179017"/>
</workbook>
</file>

<file path=xl/calcChain.xml><?xml version="1.0" encoding="utf-8"?>
<calcChain xmlns="http://schemas.openxmlformats.org/spreadsheetml/2006/main">
  <c r="D78" i="48" l="1"/>
  <c r="C78" i="48"/>
  <c r="I76" i="48" l="1"/>
  <c r="I73" i="48"/>
  <c r="N63" i="35"/>
  <c r="N64" i="35"/>
  <c r="N68" i="35"/>
  <c r="N69" i="35"/>
  <c r="N74" i="35"/>
  <c r="N75" i="35"/>
  <c r="N76" i="35"/>
  <c r="C7" i="38" l="1"/>
  <c r="AE126" i="58" l="1"/>
  <c r="AE127" i="58"/>
  <c r="AE128" i="58"/>
  <c r="AF128" i="58" s="1"/>
  <c r="AE129" i="58"/>
  <c r="AF129" i="58" s="1"/>
  <c r="AE130" i="58"/>
  <c r="AE131" i="58"/>
  <c r="AE132" i="58"/>
  <c r="AF132" i="58" s="1"/>
  <c r="AE133" i="58"/>
  <c r="AF133" i="58" s="1"/>
  <c r="AE134" i="58"/>
  <c r="AE135" i="58"/>
  <c r="AE136" i="58"/>
  <c r="AF136" i="58" s="1"/>
  <c r="AD126" i="58"/>
  <c r="AF126" i="58" s="1"/>
  <c r="AD127" i="58"/>
  <c r="AF127" i="58" s="1"/>
  <c r="AD128" i="58"/>
  <c r="AD129" i="58"/>
  <c r="AD130" i="58"/>
  <c r="AF130" i="58" s="1"/>
  <c r="AD131" i="58"/>
  <c r="AF131" i="58" s="1"/>
  <c r="AD132" i="58"/>
  <c r="AD133" i="58"/>
  <c r="AD134" i="58"/>
  <c r="AF134" i="58" s="1"/>
  <c r="AD135" i="58"/>
  <c r="AF135" i="58" s="1"/>
  <c r="AD136" i="58"/>
  <c r="AE125" i="58"/>
  <c r="AD125" i="58"/>
  <c r="AF125" i="58" s="1"/>
  <c r="AE110" i="58"/>
  <c r="AE111" i="58"/>
  <c r="AE112" i="58"/>
  <c r="AE113" i="58"/>
  <c r="AE114" i="58"/>
  <c r="AE115" i="58"/>
  <c r="AE116" i="58"/>
  <c r="AE117" i="58"/>
  <c r="AE118" i="58"/>
  <c r="AE119" i="58"/>
  <c r="AE120" i="58"/>
  <c r="AD110" i="58"/>
  <c r="AD111" i="58"/>
  <c r="AD112" i="58"/>
  <c r="AD113" i="58"/>
  <c r="AD114" i="58"/>
  <c r="AD115" i="58"/>
  <c r="AD116" i="58"/>
  <c r="AD117" i="58"/>
  <c r="AD118" i="58"/>
  <c r="AF118" i="58" s="1"/>
  <c r="AD119" i="58"/>
  <c r="AF119" i="58" s="1"/>
  <c r="AD120" i="58"/>
  <c r="AC110" i="58"/>
  <c r="AC111" i="58"/>
  <c r="AC112" i="58"/>
  <c r="AC113" i="58"/>
  <c r="AC114" i="58"/>
  <c r="AC115" i="58"/>
  <c r="AC116" i="58"/>
  <c r="AC117" i="58"/>
  <c r="AC118" i="58"/>
  <c r="AC119" i="58"/>
  <c r="AC120" i="58"/>
  <c r="AB109" i="58"/>
  <c r="AA109" i="58"/>
  <c r="Z110" i="58"/>
  <c r="Z111" i="58"/>
  <c r="Z112" i="58"/>
  <c r="Z113" i="58"/>
  <c r="Z114" i="58"/>
  <c r="Z115" i="58"/>
  <c r="Z116" i="58"/>
  <c r="Z117" i="58"/>
  <c r="Z118" i="58"/>
  <c r="Z119" i="58"/>
  <c r="Z120" i="58"/>
  <c r="Y109" i="58"/>
  <c r="X109" i="58"/>
  <c r="Z109" i="58" s="1"/>
  <c r="W110" i="58"/>
  <c r="W111" i="58"/>
  <c r="W112" i="58"/>
  <c r="W113" i="58"/>
  <c r="W114" i="58"/>
  <c r="W115" i="58"/>
  <c r="W116" i="58"/>
  <c r="W117" i="58"/>
  <c r="W118" i="58"/>
  <c r="W119" i="58"/>
  <c r="W120" i="58"/>
  <c r="V109" i="58"/>
  <c r="U109" i="58"/>
  <c r="T110" i="58"/>
  <c r="T111" i="58"/>
  <c r="T112" i="58"/>
  <c r="T113" i="58"/>
  <c r="T114" i="58"/>
  <c r="T115" i="58"/>
  <c r="T116" i="58"/>
  <c r="T117" i="58"/>
  <c r="T118" i="58"/>
  <c r="T119" i="58"/>
  <c r="T120" i="58"/>
  <c r="S109" i="58"/>
  <c r="R109" i="58"/>
  <c r="T109" i="58" s="1"/>
  <c r="Q110" i="58"/>
  <c r="Q111" i="58"/>
  <c r="Q112" i="58"/>
  <c r="Q113" i="58"/>
  <c r="Q114" i="58"/>
  <c r="Q115" i="58"/>
  <c r="Q116" i="58"/>
  <c r="Q117" i="58"/>
  <c r="Q118" i="58"/>
  <c r="Q119" i="58"/>
  <c r="Q120" i="58"/>
  <c r="P109" i="58"/>
  <c r="O109" i="58"/>
  <c r="N110" i="58"/>
  <c r="N111" i="58"/>
  <c r="N112" i="58"/>
  <c r="N113" i="58"/>
  <c r="N114" i="58"/>
  <c r="N115" i="58"/>
  <c r="N116" i="58"/>
  <c r="N117" i="58"/>
  <c r="N118" i="58"/>
  <c r="N119" i="58"/>
  <c r="N120" i="58"/>
  <c r="M109" i="58"/>
  <c r="L109" i="58"/>
  <c r="K110" i="58"/>
  <c r="K111" i="58"/>
  <c r="K112" i="58"/>
  <c r="K113" i="58"/>
  <c r="K114" i="58"/>
  <c r="K115" i="58"/>
  <c r="K116" i="58"/>
  <c r="K117" i="58"/>
  <c r="K118" i="58"/>
  <c r="K119" i="58"/>
  <c r="K120" i="58"/>
  <c r="J109" i="58"/>
  <c r="K109" i="58" s="1"/>
  <c r="I109" i="58"/>
  <c r="H110" i="58"/>
  <c r="H111" i="58"/>
  <c r="H112" i="58"/>
  <c r="H113" i="58"/>
  <c r="H114" i="58"/>
  <c r="H115" i="58"/>
  <c r="H116" i="58"/>
  <c r="H117" i="58"/>
  <c r="H118" i="58"/>
  <c r="H119" i="58"/>
  <c r="H120" i="58"/>
  <c r="G109" i="58"/>
  <c r="F109" i="58"/>
  <c r="E110" i="58"/>
  <c r="E111" i="58"/>
  <c r="E112" i="58"/>
  <c r="E113" i="58"/>
  <c r="E114" i="58"/>
  <c r="E115" i="58"/>
  <c r="E116" i="58"/>
  <c r="E117" i="58"/>
  <c r="E118" i="58"/>
  <c r="E119" i="58"/>
  <c r="E120" i="58"/>
  <c r="D109" i="58"/>
  <c r="C109" i="58"/>
  <c r="F77" i="58"/>
  <c r="G77" i="58"/>
  <c r="I77" i="58"/>
  <c r="J77" i="58"/>
  <c r="K77" i="58"/>
  <c r="L77" i="58"/>
  <c r="M77" i="58"/>
  <c r="O77" i="58"/>
  <c r="P77" i="58"/>
  <c r="R77" i="58"/>
  <c r="S77" i="58"/>
  <c r="U77" i="58"/>
  <c r="V77" i="58"/>
  <c r="X77" i="58"/>
  <c r="Y77" i="58"/>
  <c r="AA77" i="58"/>
  <c r="AB77" i="58"/>
  <c r="AD88" i="58"/>
  <c r="AE88" i="58"/>
  <c r="AC79" i="58"/>
  <c r="AC80" i="58"/>
  <c r="AC81" i="58"/>
  <c r="AC82" i="58"/>
  <c r="AC83" i="58"/>
  <c r="AC84" i="58"/>
  <c r="AC85" i="58"/>
  <c r="AC86" i="58"/>
  <c r="AC87" i="58"/>
  <c r="AC88" i="58"/>
  <c r="AC78" i="58"/>
  <c r="Z79" i="58"/>
  <c r="Z80" i="58"/>
  <c r="Z81" i="58"/>
  <c r="Z82" i="58"/>
  <c r="Z83" i="58"/>
  <c r="Z84" i="58"/>
  <c r="Z85" i="58"/>
  <c r="Z86" i="58"/>
  <c r="Z87" i="58"/>
  <c r="Z88" i="58"/>
  <c r="Z78" i="58"/>
  <c r="W79" i="58"/>
  <c r="W80" i="58"/>
  <c r="W81" i="58"/>
  <c r="W82" i="58"/>
  <c r="W83" i="58"/>
  <c r="W84" i="58"/>
  <c r="W85" i="58"/>
  <c r="W86" i="58"/>
  <c r="W87" i="58"/>
  <c r="W88" i="58"/>
  <c r="W78" i="58"/>
  <c r="T79" i="58"/>
  <c r="T80" i="58"/>
  <c r="T81" i="58"/>
  <c r="T82" i="58"/>
  <c r="T83" i="58"/>
  <c r="T84" i="58"/>
  <c r="T85" i="58"/>
  <c r="T86" i="58"/>
  <c r="T87" i="58"/>
  <c r="T88" i="58"/>
  <c r="T78" i="58"/>
  <c r="Q79" i="58"/>
  <c r="Q80" i="58"/>
  <c r="Q81" i="58"/>
  <c r="Q82" i="58"/>
  <c r="Q83" i="58"/>
  <c r="Q84" i="58"/>
  <c r="Q85" i="58"/>
  <c r="Q86" i="58"/>
  <c r="Q87" i="58"/>
  <c r="Q88" i="58"/>
  <c r="Q78" i="58"/>
  <c r="N79" i="58"/>
  <c r="N80" i="58"/>
  <c r="N81" i="58"/>
  <c r="N82" i="58"/>
  <c r="N83" i="58"/>
  <c r="N84" i="58"/>
  <c r="N85" i="58"/>
  <c r="N86" i="58"/>
  <c r="N87" i="58"/>
  <c r="N88" i="58"/>
  <c r="N78" i="58"/>
  <c r="H78" i="58"/>
  <c r="H79" i="58"/>
  <c r="H80" i="58"/>
  <c r="H81" i="58"/>
  <c r="H82" i="58"/>
  <c r="H83" i="58"/>
  <c r="H84" i="58"/>
  <c r="H85" i="58"/>
  <c r="H86" i="58"/>
  <c r="H87" i="58"/>
  <c r="H88" i="58"/>
  <c r="E88" i="58"/>
  <c r="AE58" i="58"/>
  <c r="AD58" i="58"/>
  <c r="AF58" i="58" s="1"/>
  <c r="AE57" i="58"/>
  <c r="AE47" i="58"/>
  <c r="AE48" i="58"/>
  <c r="AE49" i="58"/>
  <c r="AE50" i="58"/>
  <c r="AE51" i="58"/>
  <c r="AE52" i="58"/>
  <c r="AE53" i="58"/>
  <c r="AE54" i="58"/>
  <c r="AE55" i="58"/>
  <c r="AE56" i="58"/>
  <c r="AE46" i="58"/>
  <c r="AD57" i="58"/>
  <c r="AD47" i="58"/>
  <c r="AF47" i="58" s="1"/>
  <c r="AD48" i="58"/>
  <c r="AD49" i="58"/>
  <c r="AF49" i="58" s="1"/>
  <c r="AD50" i="58"/>
  <c r="AF50" i="58" s="1"/>
  <c r="AD51" i="58"/>
  <c r="AD52" i="58"/>
  <c r="AD53" i="58"/>
  <c r="AF53" i="58" s="1"/>
  <c r="AD54" i="58"/>
  <c r="AF54" i="58" s="1"/>
  <c r="AD55" i="58"/>
  <c r="AD56" i="58"/>
  <c r="AD46" i="58"/>
  <c r="AF46" i="58" s="1"/>
  <c r="AC57" i="58"/>
  <c r="AF48" i="58"/>
  <c r="AF51" i="58"/>
  <c r="AF52" i="58"/>
  <c r="AF55" i="58"/>
  <c r="AF56" i="58"/>
  <c r="AC46" i="58"/>
  <c r="AC47" i="58"/>
  <c r="AC48" i="58"/>
  <c r="AC49" i="58"/>
  <c r="AC50" i="58"/>
  <c r="AC51" i="58"/>
  <c r="AC52" i="58"/>
  <c r="AC53" i="58"/>
  <c r="AC54" i="58"/>
  <c r="AC55" i="58"/>
  <c r="AC56" i="58"/>
  <c r="Z46" i="58"/>
  <c r="Z47" i="58"/>
  <c r="Z48" i="58"/>
  <c r="Z49" i="58"/>
  <c r="Z50" i="58"/>
  <c r="Z51" i="58"/>
  <c r="Z52" i="58"/>
  <c r="Z53" i="58"/>
  <c r="Z54" i="58"/>
  <c r="Z55" i="58"/>
  <c r="Z56" i="58"/>
  <c r="Z57" i="58"/>
  <c r="W46" i="58"/>
  <c r="W47" i="58"/>
  <c r="W48" i="58"/>
  <c r="W49" i="58"/>
  <c r="W50" i="58"/>
  <c r="W51" i="58"/>
  <c r="W52" i="58"/>
  <c r="W53" i="58"/>
  <c r="W54" i="58"/>
  <c r="W55" i="58"/>
  <c r="W56" i="58"/>
  <c r="T47" i="58"/>
  <c r="T48" i="58"/>
  <c r="T49" i="58"/>
  <c r="T50" i="58"/>
  <c r="T51" i="58"/>
  <c r="T52" i="58"/>
  <c r="T53" i="58"/>
  <c r="T54" i="58"/>
  <c r="T55" i="58"/>
  <c r="T56" i="58"/>
  <c r="T46" i="58"/>
  <c r="Q46" i="58"/>
  <c r="Q47" i="58"/>
  <c r="Q48" i="58"/>
  <c r="Q49" i="58"/>
  <c r="Q50" i="58"/>
  <c r="Q51" i="58"/>
  <c r="Q52" i="58"/>
  <c r="Q53" i="58"/>
  <c r="Q54" i="58"/>
  <c r="Q55" i="58"/>
  <c r="Q56" i="58"/>
  <c r="Q57" i="58"/>
  <c r="Q58" i="58"/>
  <c r="N46" i="58"/>
  <c r="N47" i="58"/>
  <c r="N48" i="58"/>
  <c r="N49" i="58"/>
  <c r="N50" i="58"/>
  <c r="N51" i="58"/>
  <c r="N52" i="58"/>
  <c r="N53" i="58"/>
  <c r="N54" i="58"/>
  <c r="N55" i="58"/>
  <c r="N56" i="58"/>
  <c r="N57" i="58"/>
  <c r="N44" i="58" s="1"/>
  <c r="K46" i="58"/>
  <c r="K47" i="58"/>
  <c r="K48" i="58"/>
  <c r="K49" i="58"/>
  <c r="K50" i="58"/>
  <c r="K51" i="58"/>
  <c r="K52" i="58"/>
  <c r="K53" i="58"/>
  <c r="K54" i="58"/>
  <c r="K55" i="58"/>
  <c r="K56" i="58"/>
  <c r="K57" i="58"/>
  <c r="K58" i="58"/>
  <c r="H58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E57" i="58"/>
  <c r="E47" i="58"/>
  <c r="E48" i="58"/>
  <c r="E49" i="58"/>
  <c r="E50" i="58"/>
  <c r="E51" i="58"/>
  <c r="E52" i="58"/>
  <c r="E53" i="58"/>
  <c r="E54" i="58"/>
  <c r="E55" i="58"/>
  <c r="E56" i="58"/>
  <c r="E46" i="58"/>
  <c r="X44" i="58"/>
  <c r="Y44" i="58"/>
  <c r="Z44" i="58"/>
  <c r="AA44" i="58"/>
  <c r="AB44" i="58"/>
  <c r="AC44" i="58"/>
  <c r="V44" i="58"/>
  <c r="U44" i="58"/>
  <c r="S44" i="58"/>
  <c r="R44" i="58"/>
  <c r="P44" i="58"/>
  <c r="O44" i="58"/>
  <c r="M44" i="58"/>
  <c r="L44" i="58"/>
  <c r="J44" i="58"/>
  <c r="I44" i="58"/>
  <c r="G44" i="58"/>
  <c r="F44" i="58"/>
  <c r="AE45" i="58"/>
  <c r="AC45" i="58"/>
  <c r="Z45" i="58"/>
  <c r="W45" i="58"/>
  <c r="W44" i="58" s="1"/>
  <c r="T45" i="58"/>
  <c r="T44" i="58" s="1"/>
  <c r="Q45" i="58"/>
  <c r="N45" i="58"/>
  <c r="K45" i="58"/>
  <c r="H45" i="58"/>
  <c r="H44" i="58" s="1"/>
  <c r="D45" i="58"/>
  <c r="D44" i="58" s="1"/>
  <c r="C45" i="58"/>
  <c r="E22" i="58"/>
  <c r="E23" i="58"/>
  <c r="E24" i="58"/>
  <c r="E21" i="58"/>
  <c r="E12" i="58"/>
  <c r="E13" i="58"/>
  <c r="E14" i="58"/>
  <c r="E4" i="58"/>
  <c r="E11" i="58"/>
  <c r="K44" i="58" l="1"/>
  <c r="N77" i="58"/>
  <c r="W109" i="58"/>
  <c r="AF57" i="58"/>
  <c r="T77" i="58"/>
  <c r="W77" i="58"/>
  <c r="AF115" i="58"/>
  <c r="E45" i="58"/>
  <c r="E44" i="58" s="1"/>
  <c r="AC109" i="58"/>
  <c r="Q109" i="58"/>
  <c r="AF113" i="58"/>
  <c r="AF120" i="58"/>
  <c r="N109" i="58"/>
  <c r="AF112" i="58"/>
  <c r="AE109" i="58"/>
  <c r="H109" i="58"/>
  <c r="AF111" i="58"/>
  <c r="AD109" i="58"/>
  <c r="AF117" i="58"/>
  <c r="AF116" i="58"/>
  <c r="AF114" i="58"/>
  <c r="AF110" i="58"/>
  <c r="E109" i="58"/>
  <c r="AC77" i="58"/>
  <c r="Z77" i="58"/>
  <c r="Q77" i="58"/>
  <c r="H77" i="58"/>
  <c r="AE86" i="58"/>
  <c r="E86" i="58"/>
  <c r="AD86" i="58"/>
  <c r="E87" i="58"/>
  <c r="AE87" i="58"/>
  <c r="AF88" i="58"/>
  <c r="AD87" i="58"/>
  <c r="AE44" i="58"/>
  <c r="AD45" i="58"/>
  <c r="Q44" i="58"/>
  <c r="C44" i="58"/>
  <c r="I49" i="48"/>
  <c r="I48" i="48"/>
  <c r="I47" i="48"/>
  <c r="I46" i="48" s="1"/>
  <c r="I43" i="48"/>
  <c r="I42" i="48"/>
  <c r="I41" i="48"/>
  <c r="I39" i="48"/>
  <c r="I38" i="48"/>
  <c r="I37" i="48"/>
  <c r="I36" i="48"/>
  <c r="I35" i="48"/>
  <c r="I34" i="48"/>
  <c r="I30" i="48"/>
  <c r="I33" i="48"/>
  <c r="I32" i="48"/>
  <c r="I31" i="48"/>
  <c r="I29" i="48"/>
  <c r="I28" i="48"/>
  <c r="I27" i="48"/>
  <c r="I26" i="48"/>
  <c r="I24" i="48"/>
  <c r="I23" i="48"/>
  <c r="G77" i="48"/>
  <c r="G76" i="48"/>
  <c r="G75" i="48"/>
  <c r="G74" i="48"/>
  <c r="G73" i="48"/>
  <c r="G72" i="48"/>
  <c r="F77" i="48"/>
  <c r="F76" i="48"/>
  <c r="F75" i="48"/>
  <c r="F74" i="48"/>
  <c r="F73" i="48"/>
  <c r="F72" i="48"/>
  <c r="G53" i="48"/>
  <c r="G52" i="48"/>
  <c r="G51" i="48" s="1"/>
  <c r="G50" i="48"/>
  <c r="G49" i="48"/>
  <c r="G48" i="48"/>
  <c r="G47" i="48"/>
  <c r="G45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4" i="48"/>
  <c r="G23" i="48"/>
  <c r="F53" i="48"/>
  <c r="F52" i="48"/>
  <c r="F50" i="48"/>
  <c r="F49" i="48"/>
  <c r="F48" i="48"/>
  <c r="F47" i="48"/>
  <c r="F45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4" i="48"/>
  <c r="F23" i="48"/>
  <c r="G16" i="48"/>
  <c r="G15" i="48"/>
  <c r="F16" i="48"/>
  <c r="F15" i="48"/>
  <c r="G46" i="48" l="1"/>
  <c r="AF109" i="58"/>
  <c r="AF87" i="58"/>
  <c r="AD85" i="58"/>
  <c r="E85" i="58"/>
  <c r="AE85" i="58"/>
  <c r="AF86" i="58"/>
  <c r="AF45" i="58"/>
  <c r="AF44" i="58" s="1"/>
  <c r="AD44" i="58"/>
  <c r="F51" i="48"/>
  <c r="G78" i="48"/>
  <c r="G22" i="48"/>
  <c r="G21" i="48" s="1"/>
  <c r="F78" i="48"/>
  <c r="F46" i="48"/>
  <c r="F22" i="48"/>
  <c r="F21" i="48" s="1"/>
  <c r="I78" i="48"/>
  <c r="I40" i="48" s="1"/>
  <c r="I22" i="48"/>
  <c r="G77" i="35"/>
  <c r="AF85" i="58" l="1"/>
  <c r="AE84" i="58"/>
  <c r="E84" i="58"/>
  <c r="AD84" i="58"/>
  <c r="I21" i="48"/>
  <c r="I55" i="48" s="1"/>
  <c r="I56" i="48" s="1"/>
  <c r="G11" i="17" s="1"/>
  <c r="D34" i="58"/>
  <c r="E34" i="58"/>
  <c r="C34" i="58"/>
  <c r="AD83" i="58" l="1"/>
  <c r="E83" i="58"/>
  <c r="AE83" i="58"/>
  <c r="AF84" i="58"/>
  <c r="AF83" i="58" l="1"/>
  <c r="AE82" i="58"/>
  <c r="E82" i="58"/>
  <c r="AD82" i="58"/>
  <c r="D10" i="35"/>
  <c r="E10" i="35"/>
  <c r="AE81" i="58" l="1"/>
  <c r="AD81" i="58"/>
  <c r="E81" i="58"/>
  <c r="AF82" i="58"/>
  <c r="B22" i="9"/>
  <c r="B21" i="9"/>
  <c r="AF81" i="58" l="1"/>
  <c r="AD80" i="58"/>
  <c r="E80" i="58"/>
  <c r="AE80" i="58"/>
  <c r="D20" i="9"/>
  <c r="D21" i="9"/>
  <c r="AD79" i="58" l="1"/>
  <c r="E79" i="58"/>
  <c r="AE79" i="58"/>
  <c r="AF80" i="58"/>
  <c r="D22" i="9"/>
  <c r="D51" i="48"/>
  <c r="C51" i="48"/>
  <c r="C46" i="48"/>
  <c r="C17" i="48"/>
  <c r="C14" i="48"/>
  <c r="C6" i="48"/>
  <c r="AE78" i="58" l="1"/>
  <c r="D77" i="58"/>
  <c r="AE77" i="58" s="1"/>
  <c r="AF79" i="58"/>
  <c r="E78" i="58"/>
  <c r="E77" i="58" s="1"/>
  <c r="C77" i="58"/>
  <c r="AD78" i="58"/>
  <c r="AF78" i="58" s="1"/>
  <c r="C65" i="48"/>
  <c r="AD77" i="58" l="1"/>
  <c r="AF77" i="58" s="1"/>
  <c r="C58" i="48"/>
  <c r="D58" i="48"/>
  <c r="D64" i="48"/>
  <c r="C64" i="48"/>
  <c r="C66" i="48" s="1"/>
  <c r="C22" i="48"/>
  <c r="C21" i="48" s="1"/>
  <c r="C55" i="48" s="1"/>
  <c r="C4" i="17" l="1"/>
  <c r="C5" i="17"/>
  <c r="C6" i="17"/>
  <c r="C7" i="17"/>
  <c r="C9" i="17"/>
  <c r="C14" i="17"/>
  <c r="C8" i="17" l="1"/>
  <c r="D46" i="48" l="1"/>
  <c r="D22" i="48"/>
  <c r="D20" i="48"/>
  <c r="D17" i="48"/>
  <c r="C3" i="17"/>
  <c r="D14" i="48"/>
  <c r="D6" i="48"/>
  <c r="D21" i="48" l="1"/>
  <c r="D65" i="48"/>
  <c r="D55" i="48"/>
  <c r="C67" i="48"/>
  <c r="C12" i="17"/>
  <c r="C10" i="17"/>
  <c r="D66" i="48" l="1"/>
  <c r="D67" i="48"/>
  <c r="C11" i="17"/>
  <c r="C13" i="17" s="1"/>
  <c r="P18" i="35"/>
  <c r="D18" i="35" s="1"/>
  <c r="Q18" i="35"/>
  <c r="E18" i="35" s="1"/>
  <c r="R18" i="35"/>
  <c r="F18" i="35" s="1"/>
  <c r="S18" i="35"/>
  <c r="G18" i="35" s="1"/>
  <c r="T18" i="35"/>
  <c r="H18" i="35" s="1"/>
  <c r="U18" i="35"/>
  <c r="I18" i="35" s="1"/>
  <c r="V18" i="35"/>
  <c r="J18" i="35" s="1"/>
  <c r="W18" i="35"/>
  <c r="K18" i="35" s="1"/>
  <c r="X18" i="35"/>
  <c r="L18" i="35" s="1"/>
  <c r="X17" i="35"/>
  <c r="L17" i="35" s="1"/>
  <c r="W17" i="35"/>
  <c r="K17" i="35" s="1"/>
  <c r="V17" i="35"/>
  <c r="J17" i="35" s="1"/>
  <c r="U17" i="35"/>
  <c r="I17" i="35" s="1"/>
  <c r="T17" i="35"/>
  <c r="H17" i="35" s="1"/>
  <c r="S17" i="35"/>
  <c r="G17" i="35" s="1"/>
  <c r="R17" i="35"/>
  <c r="F17" i="35" s="1"/>
  <c r="Q17" i="35"/>
  <c r="E17" i="35" s="1"/>
  <c r="P17" i="35"/>
  <c r="D17" i="35" s="1"/>
  <c r="C15" i="17" l="1"/>
  <c r="H8" i="35"/>
  <c r="G8" i="35"/>
  <c r="D30" i="9" l="1"/>
  <c r="D29" i="9"/>
  <c r="C24" i="9" l="1"/>
  <c r="E29" i="58"/>
  <c r="D29" i="58"/>
  <c r="C29" i="58"/>
  <c r="C28" i="30"/>
  <c r="C1" i="35"/>
  <c r="D1" i="35"/>
  <c r="E1" i="35"/>
  <c r="F1" i="35"/>
  <c r="L1" i="35"/>
  <c r="K1" i="35"/>
  <c r="J1" i="35"/>
  <c r="I1" i="35"/>
  <c r="H1" i="35"/>
  <c r="G1" i="35"/>
  <c r="M17" i="35" l="1"/>
  <c r="N17" i="35" s="1"/>
  <c r="N72" i="35" s="1"/>
  <c r="M14" i="35"/>
  <c r="N14" i="35" s="1"/>
  <c r="M18" i="35"/>
  <c r="N18" i="35" s="1"/>
  <c r="N73" i="35" s="1"/>
  <c r="D3" i="17"/>
  <c r="D4" i="17"/>
  <c r="D5" i="17"/>
  <c r="D6" i="17"/>
  <c r="D7" i="17"/>
  <c r="D9" i="17"/>
  <c r="D10" i="17"/>
  <c r="D12" i="17"/>
  <c r="D14" i="17"/>
  <c r="D1" i="17"/>
  <c r="C1" i="17"/>
  <c r="E4" i="17" l="1"/>
  <c r="E12" i="17"/>
  <c r="E6" i="17"/>
  <c r="E10" i="17"/>
  <c r="E5" i="17"/>
  <c r="E9" i="17"/>
  <c r="E7" i="17"/>
  <c r="E3" i="17"/>
  <c r="E14" i="17"/>
  <c r="D8" i="17"/>
  <c r="E8" i="17" s="1"/>
  <c r="D11" i="17"/>
  <c r="E11" i="17" s="1"/>
  <c r="D13" i="17" l="1"/>
  <c r="E13" i="17" s="1"/>
  <c r="D15" i="17" l="1"/>
  <c r="H12" i="35"/>
  <c r="H11" i="35"/>
  <c r="D12" i="35"/>
  <c r="E12" i="35"/>
  <c r="D11" i="35"/>
  <c r="E11" i="35"/>
  <c r="H80" i="35"/>
  <c r="H77" i="35"/>
  <c r="C76" i="35"/>
  <c r="C75" i="35"/>
  <c r="L64" i="35"/>
  <c r="K64" i="35"/>
  <c r="J64" i="35"/>
  <c r="H21" i="35"/>
  <c r="M21" i="35" s="1"/>
  <c r="N21" i="35" s="1"/>
  <c r="H20" i="35"/>
  <c r="G20" i="35"/>
  <c r="M20" i="35" s="1"/>
  <c r="N20" i="35" s="1"/>
  <c r="H19" i="35"/>
  <c r="G19" i="35"/>
  <c r="M19" i="35" s="1"/>
  <c r="N19" i="35" s="1"/>
  <c r="L16" i="35"/>
  <c r="K16" i="35"/>
  <c r="J16" i="35"/>
  <c r="I16" i="35"/>
  <c r="G16" i="35"/>
  <c r="G15" i="35" s="1"/>
  <c r="F16" i="35"/>
  <c r="E16" i="35"/>
  <c r="E15" i="35" s="1"/>
  <c r="D16" i="35"/>
  <c r="C15" i="35"/>
  <c r="H13" i="35"/>
  <c r="G13" i="35"/>
  <c r="L12" i="35"/>
  <c r="K12" i="35"/>
  <c r="J12" i="35"/>
  <c r="I12" i="35"/>
  <c r="G12" i="35"/>
  <c r="F12" i="35"/>
  <c r="L11" i="35"/>
  <c r="K11" i="35"/>
  <c r="J11" i="35"/>
  <c r="I11" i="35"/>
  <c r="G11" i="35"/>
  <c r="F11" i="35"/>
  <c r="L10" i="35"/>
  <c r="K10" i="35"/>
  <c r="J10" i="35"/>
  <c r="I10" i="35"/>
  <c r="H10" i="35"/>
  <c r="G10" i="35"/>
  <c r="F10" i="35"/>
  <c r="H9" i="35"/>
  <c r="G9" i="35"/>
  <c r="F9" i="35"/>
  <c r="E9" i="35"/>
  <c r="F8" i="35"/>
  <c r="E8" i="35"/>
  <c r="D8" i="35"/>
  <c r="C8" i="35"/>
  <c r="D88" i="35"/>
  <c r="C88" i="35"/>
  <c r="G83" i="35"/>
  <c r="F83" i="35"/>
  <c r="E83" i="35"/>
  <c r="D83" i="35"/>
  <c r="C83" i="35"/>
  <c r="G79" i="35"/>
  <c r="F79" i="35"/>
  <c r="E79" i="35"/>
  <c r="D79" i="35"/>
  <c r="C79" i="35"/>
  <c r="C38" i="35"/>
  <c r="D76" i="35" s="1"/>
  <c r="C37" i="35"/>
  <c r="D75" i="35" s="1"/>
  <c r="C36" i="35"/>
  <c r="D74" i="35" s="1"/>
  <c r="C35" i="35"/>
  <c r="D35" i="35" s="1"/>
  <c r="C34" i="35"/>
  <c r="D72" i="35" s="1"/>
  <c r="C33" i="35"/>
  <c r="C71" i="35" s="1"/>
  <c r="C31" i="35"/>
  <c r="D69" i="35" s="1"/>
  <c r="C30" i="35"/>
  <c r="D68" i="35" s="1"/>
  <c r="C29" i="35"/>
  <c r="C67" i="35" s="1"/>
  <c r="C28" i="35"/>
  <c r="C66" i="35" s="1"/>
  <c r="C27" i="35"/>
  <c r="C65" i="35" s="1"/>
  <c r="C26" i="35"/>
  <c r="C64" i="35" s="1"/>
  <c r="K6" i="35"/>
  <c r="J6" i="35"/>
  <c r="I6" i="35"/>
  <c r="G2" i="35"/>
  <c r="F2" i="35"/>
  <c r="E2" i="35"/>
  <c r="D2" i="35"/>
  <c r="C2" i="35"/>
  <c r="C69" i="35" l="1"/>
  <c r="M13" i="35"/>
  <c r="N13" i="35" s="1"/>
  <c r="C7" i="35"/>
  <c r="C62" i="35" s="1"/>
  <c r="M8" i="35"/>
  <c r="N8" i="35" s="1"/>
  <c r="M9" i="35"/>
  <c r="N9" i="35" s="1"/>
  <c r="M10" i="35"/>
  <c r="N10" i="35" s="1"/>
  <c r="N65" i="35" s="1"/>
  <c r="M11" i="35"/>
  <c r="N11" i="35" s="1"/>
  <c r="N66" i="35" s="1"/>
  <c r="D67" i="35"/>
  <c r="M12" i="35"/>
  <c r="N12" i="35" s="1"/>
  <c r="N67" i="35" s="1"/>
  <c r="D31" i="35"/>
  <c r="E69" i="35" s="1"/>
  <c r="C32" i="35"/>
  <c r="C70" i="35" s="1"/>
  <c r="C68" i="35"/>
  <c r="C72" i="35"/>
  <c r="C51" i="35" s="1"/>
  <c r="D27" i="35"/>
  <c r="E27" i="35" s="1"/>
  <c r="F65" i="35" s="1"/>
  <c r="D71" i="35"/>
  <c r="D64" i="35"/>
  <c r="C73" i="35"/>
  <c r="C74" i="35"/>
  <c r="C53" i="35" s="1"/>
  <c r="D53" i="35" s="1"/>
  <c r="D66" i="35"/>
  <c r="D36" i="35"/>
  <c r="D38" i="35"/>
  <c r="E76" i="35" s="1"/>
  <c r="E7" i="35"/>
  <c r="E3" i="35" s="1"/>
  <c r="F7" i="35"/>
  <c r="I3" i="35"/>
  <c r="K3" i="35"/>
  <c r="J3" i="35"/>
  <c r="E73" i="35"/>
  <c r="G7" i="35"/>
  <c r="D73" i="35"/>
  <c r="D65" i="35"/>
  <c r="D7" i="35"/>
  <c r="H7" i="35"/>
  <c r="D29" i="35"/>
  <c r="E67" i="35" s="1"/>
  <c r="D15" i="35"/>
  <c r="C6" i="35"/>
  <c r="I77" i="35"/>
  <c r="J77" i="35" s="1"/>
  <c r="K77" i="35" s="1"/>
  <c r="L77" i="35" s="1"/>
  <c r="C25" i="35"/>
  <c r="H16" i="35"/>
  <c r="H15" i="35" s="1"/>
  <c r="D26" i="35"/>
  <c r="E64" i="35" s="1"/>
  <c r="C47" i="35"/>
  <c r="D30" i="35"/>
  <c r="E68" i="35" s="1"/>
  <c r="C45" i="35"/>
  <c r="D28" i="35"/>
  <c r="E66" i="35" s="1"/>
  <c r="E35" i="35"/>
  <c r="F73" i="35" s="1"/>
  <c r="C24" i="35"/>
  <c r="D34" i="35"/>
  <c r="E72" i="35" s="1"/>
  <c r="D55" i="35"/>
  <c r="C54" i="35"/>
  <c r="D37" i="35"/>
  <c r="E75" i="35" s="1"/>
  <c r="C43" i="35"/>
  <c r="D33" i="35"/>
  <c r="E71" i="35" s="1"/>
  <c r="E31" i="35"/>
  <c r="F69" i="35" s="1"/>
  <c r="E38" i="35"/>
  <c r="F76" i="35" s="1"/>
  <c r="C55" i="35"/>
  <c r="C44" i="35"/>
  <c r="C46" i="35"/>
  <c r="C48" i="35"/>
  <c r="D48" i="35" s="1"/>
  <c r="E48" i="35" s="1"/>
  <c r="C50" i="35"/>
  <c r="C52" i="35"/>
  <c r="D43" i="35" l="1"/>
  <c r="M16" i="35"/>
  <c r="N16" i="35" s="1"/>
  <c r="N71" i="35" s="1"/>
  <c r="D70" i="35"/>
  <c r="C49" i="35"/>
  <c r="C3" i="35"/>
  <c r="M7" i="35"/>
  <c r="N7" i="35" s="1"/>
  <c r="N62" i="35" s="1"/>
  <c r="E65" i="35"/>
  <c r="D3" i="35"/>
  <c r="D45" i="35"/>
  <c r="E45" i="35" s="1"/>
  <c r="G6" i="35"/>
  <c r="G3" i="35"/>
  <c r="E6" i="35"/>
  <c r="E36" i="35"/>
  <c r="E74" i="35"/>
  <c r="E53" i="35" s="1"/>
  <c r="D32" i="35"/>
  <c r="E70" i="35" s="1"/>
  <c r="D52" i="35"/>
  <c r="E52" i="35" s="1"/>
  <c r="F52" i="35" s="1"/>
  <c r="D6" i="35"/>
  <c r="D62" i="35"/>
  <c r="E29" i="35"/>
  <c r="F67" i="35" s="1"/>
  <c r="H6" i="35"/>
  <c r="D44" i="35"/>
  <c r="H3" i="35"/>
  <c r="D63" i="35"/>
  <c r="C63" i="35"/>
  <c r="C42" i="35" s="1"/>
  <c r="D25" i="35"/>
  <c r="E63" i="35" s="1"/>
  <c r="F48" i="35"/>
  <c r="F31" i="35"/>
  <c r="G69" i="35" s="1"/>
  <c r="E33" i="35"/>
  <c r="F71" i="35" s="1"/>
  <c r="E25" i="35"/>
  <c r="F63" i="35" s="1"/>
  <c r="F27" i="35"/>
  <c r="G65" i="35" s="1"/>
  <c r="D54" i="35"/>
  <c r="E54" i="35" s="1"/>
  <c r="E34" i="35"/>
  <c r="F72" i="35" s="1"/>
  <c r="C41" i="35"/>
  <c r="D24" i="35"/>
  <c r="E62" i="35" s="1"/>
  <c r="C23" i="35"/>
  <c r="E30" i="35"/>
  <c r="F68" i="35" s="1"/>
  <c r="E43" i="35"/>
  <c r="E26" i="35"/>
  <c r="F64" i="35" s="1"/>
  <c r="D50" i="35"/>
  <c r="E50" i="35" s="1"/>
  <c r="D46" i="35"/>
  <c r="E46" i="35" s="1"/>
  <c r="C58" i="35"/>
  <c r="D51" i="35"/>
  <c r="E51" i="35" s="1"/>
  <c r="F35" i="35"/>
  <c r="G73" i="35" s="1"/>
  <c r="D47" i="35"/>
  <c r="E55" i="35"/>
  <c r="F38" i="35"/>
  <c r="G76" i="35" s="1"/>
  <c r="E37" i="35"/>
  <c r="F75" i="35" s="1"/>
  <c r="E28" i="35"/>
  <c r="F66" i="35" s="1"/>
  <c r="E44" i="35" l="1"/>
  <c r="F44" i="35" s="1"/>
  <c r="D58" i="35"/>
  <c r="D60" i="35" s="1"/>
  <c r="D49" i="35"/>
  <c r="E49" i="35" s="1"/>
  <c r="C4" i="35"/>
  <c r="D4" i="35" s="1"/>
  <c r="E4" i="35" s="1"/>
  <c r="E32" i="35"/>
  <c r="F74" i="35"/>
  <c r="F53" i="35" s="1"/>
  <c r="F36" i="35"/>
  <c r="F46" i="35"/>
  <c r="F29" i="35"/>
  <c r="G67" i="35" s="1"/>
  <c r="D42" i="35"/>
  <c r="E42" i="35" s="1"/>
  <c r="F42" i="35" s="1"/>
  <c r="F43" i="35"/>
  <c r="G35" i="35"/>
  <c r="H73" i="35" s="1"/>
  <c r="F30" i="35"/>
  <c r="G68" i="35" s="1"/>
  <c r="C40" i="35"/>
  <c r="D41" i="35"/>
  <c r="F33" i="35"/>
  <c r="G71" i="35" s="1"/>
  <c r="F50" i="35"/>
  <c r="F54" i="35"/>
  <c r="F37" i="35"/>
  <c r="G75" i="35" s="1"/>
  <c r="G48" i="35"/>
  <c r="E47" i="35"/>
  <c r="F47" i="35" s="1"/>
  <c r="C61" i="35"/>
  <c r="C60" i="35"/>
  <c r="C5" i="35"/>
  <c r="F26" i="35"/>
  <c r="G64" i="35" s="1"/>
  <c r="F51" i="35"/>
  <c r="F34" i="35"/>
  <c r="G72" i="35" s="1"/>
  <c r="G27" i="35"/>
  <c r="H65" i="35" s="1"/>
  <c r="G44" i="35"/>
  <c r="G52" i="35"/>
  <c r="F45" i="35"/>
  <c r="F28" i="35"/>
  <c r="G66" i="35" s="1"/>
  <c r="F55" i="35"/>
  <c r="G38" i="35"/>
  <c r="H76" i="35" s="1"/>
  <c r="E58" i="35"/>
  <c r="E60" i="35" s="1"/>
  <c r="E24" i="35"/>
  <c r="F62" i="35" s="1"/>
  <c r="D23" i="35"/>
  <c r="F25" i="35"/>
  <c r="G63" i="35" s="1"/>
  <c r="G31" i="35"/>
  <c r="H69" i="35" s="1"/>
  <c r="G17" i="9"/>
  <c r="E17" i="9"/>
  <c r="D5" i="35" l="1"/>
  <c r="D61" i="35"/>
  <c r="E61" i="35" s="1"/>
  <c r="D17" i="9"/>
  <c r="G46" i="35"/>
  <c r="G74" i="35"/>
  <c r="G53" i="35" s="1"/>
  <c r="G36" i="35"/>
  <c r="G29" i="35"/>
  <c r="H67" i="35" s="1"/>
  <c r="G51" i="35"/>
  <c r="G54" i="35"/>
  <c r="G45" i="35"/>
  <c r="H38" i="35"/>
  <c r="I76" i="35" s="1"/>
  <c r="G55" i="35"/>
  <c r="H52" i="35"/>
  <c r="G25" i="35"/>
  <c r="H63" i="35" s="1"/>
  <c r="G42" i="35"/>
  <c r="G26" i="35"/>
  <c r="H64" i="35" s="1"/>
  <c r="G37" i="35"/>
  <c r="H75" i="35" s="1"/>
  <c r="G33" i="35"/>
  <c r="H71" i="35" s="1"/>
  <c r="G50" i="35"/>
  <c r="G30" i="35"/>
  <c r="H68" i="35" s="1"/>
  <c r="G43" i="35"/>
  <c r="G28" i="35"/>
  <c r="H66" i="35" s="1"/>
  <c r="H27" i="35"/>
  <c r="I65" i="35" s="1"/>
  <c r="G47" i="35"/>
  <c r="H31" i="35"/>
  <c r="I69" i="35" s="1"/>
  <c r="F24" i="35"/>
  <c r="G62" i="35" s="1"/>
  <c r="E23" i="35"/>
  <c r="G34" i="35"/>
  <c r="H72" i="35" s="1"/>
  <c r="E5" i="35"/>
  <c r="D40" i="35"/>
  <c r="E41" i="35"/>
  <c r="H35" i="35"/>
  <c r="I73" i="35" s="1"/>
  <c r="H29" i="35" l="1"/>
  <c r="I67" i="35" s="1"/>
  <c r="H74" i="35"/>
  <c r="H53" i="35" s="1"/>
  <c r="H36" i="35"/>
  <c r="H48" i="35"/>
  <c r="I48" i="35" s="1"/>
  <c r="I52" i="35"/>
  <c r="I35" i="35"/>
  <c r="J73" i="35" s="1"/>
  <c r="E40" i="35"/>
  <c r="F41" i="35"/>
  <c r="G24" i="35"/>
  <c r="H62" i="35" s="1"/>
  <c r="H33" i="35"/>
  <c r="I71" i="35" s="1"/>
  <c r="H25" i="35"/>
  <c r="I63" i="35" s="1"/>
  <c r="H54" i="35"/>
  <c r="H34" i="35"/>
  <c r="I72" i="35" s="1"/>
  <c r="H28" i="35"/>
  <c r="I66" i="35" s="1"/>
  <c r="H30" i="35"/>
  <c r="I68" i="35" s="1"/>
  <c r="H37" i="35"/>
  <c r="I75" i="35" s="1"/>
  <c r="H26" i="35"/>
  <c r="I64" i="35" s="1"/>
  <c r="H55" i="35"/>
  <c r="I38" i="35"/>
  <c r="J76" i="35" s="1"/>
  <c r="H44" i="35"/>
  <c r="I31" i="35"/>
  <c r="J69" i="35" s="1"/>
  <c r="I27" i="35"/>
  <c r="J65" i="35" s="1"/>
  <c r="H46" i="35"/>
  <c r="I29" i="35" l="1"/>
  <c r="J67" i="35" s="1"/>
  <c r="I46" i="35"/>
  <c r="I74" i="35"/>
  <c r="I53" i="35" s="1"/>
  <c r="I36" i="35"/>
  <c r="J27" i="35"/>
  <c r="K65" i="35" s="1"/>
  <c r="I55" i="35"/>
  <c r="J38" i="35"/>
  <c r="K76" i="35" s="1"/>
  <c r="I34" i="35"/>
  <c r="J72" i="35" s="1"/>
  <c r="I54" i="35"/>
  <c r="I33" i="35"/>
  <c r="J71" i="35" s="1"/>
  <c r="H24" i="35"/>
  <c r="I62" i="35" s="1"/>
  <c r="J35" i="35"/>
  <c r="K73" i="35" s="1"/>
  <c r="J52" i="35"/>
  <c r="I37" i="35"/>
  <c r="J75" i="35" s="1"/>
  <c r="I28" i="35"/>
  <c r="J66" i="35" s="1"/>
  <c r="I25" i="35"/>
  <c r="J63" i="35" s="1"/>
  <c r="J29" i="35"/>
  <c r="K67" i="35" s="1"/>
  <c r="J48" i="35"/>
  <c r="J31" i="35"/>
  <c r="K69" i="35" s="1"/>
  <c r="H51" i="35"/>
  <c r="I51" i="35" s="1"/>
  <c r="H43" i="35"/>
  <c r="I43" i="35" s="1"/>
  <c r="J43" i="35" s="1"/>
  <c r="K43" i="35" s="1"/>
  <c r="L43" i="35" s="1"/>
  <c r="G41" i="35"/>
  <c r="H50" i="35"/>
  <c r="I50" i="35" s="1"/>
  <c r="I44" i="35"/>
  <c r="J44" i="35" s="1"/>
  <c r="I30" i="35"/>
  <c r="J68" i="35" s="1"/>
  <c r="H47" i="35"/>
  <c r="H45" i="35"/>
  <c r="H42" i="35"/>
  <c r="I42" i="35" s="1"/>
  <c r="J46" i="35" l="1"/>
  <c r="J74" i="35"/>
  <c r="J53" i="35" s="1"/>
  <c r="J36" i="35"/>
  <c r="J42" i="35"/>
  <c r="J25" i="35"/>
  <c r="K63" i="35" s="1"/>
  <c r="J28" i="35"/>
  <c r="K66" i="35" s="1"/>
  <c r="K52" i="35"/>
  <c r="K38" i="35"/>
  <c r="L76" i="35" s="1"/>
  <c r="J55" i="35"/>
  <c r="K29" i="35"/>
  <c r="L67" i="35" s="1"/>
  <c r="K35" i="35"/>
  <c r="L73" i="35" s="1"/>
  <c r="J34" i="35"/>
  <c r="K72" i="35" s="1"/>
  <c r="I45" i="35"/>
  <c r="J45" i="35" s="1"/>
  <c r="I47" i="35"/>
  <c r="K46" i="35"/>
  <c r="H41" i="35"/>
  <c r="J51" i="35"/>
  <c r="J54" i="35"/>
  <c r="J37" i="35"/>
  <c r="K75" i="35" s="1"/>
  <c r="J33" i="35"/>
  <c r="K71" i="35" s="1"/>
  <c r="K27" i="35"/>
  <c r="L65" i="35" s="1"/>
  <c r="K44" i="35"/>
  <c r="J30" i="35"/>
  <c r="K68" i="35" s="1"/>
  <c r="J50" i="35"/>
  <c r="K31" i="35"/>
  <c r="L69" i="35" s="1"/>
  <c r="K48" i="35"/>
  <c r="I24" i="35"/>
  <c r="J62" i="35" s="1"/>
  <c r="K74" i="35" l="1"/>
  <c r="K53" i="35" s="1"/>
  <c r="K36" i="35"/>
  <c r="L52" i="35"/>
  <c r="J47" i="35"/>
  <c r="L35" i="35"/>
  <c r="L46" i="35"/>
  <c r="L29" i="35"/>
  <c r="L48" i="35"/>
  <c r="L31" i="35"/>
  <c r="L44" i="35"/>
  <c r="L27" i="35"/>
  <c r="K45" i="35"/>
  <c r="J24" i="35"/>
  <c r="K62" i="35" s="1"/>
  <c r="K50" i="35"/>
  <c r="K33" i="35"/>
  <c r="L71" i="35" s="1"/>
  <c r="K54" i="35"/>
  <c r="K37" i="35"/>
  <c r="L75" i="35" s="1"/>
  <c r="I41" i="35"/>
  <c r="K51" i="35"/>
  <c r="K34" i="35"/>
  <c r="L72" i="35" s="1"/>
  <c r="K55" i="35"/>
  <c r="L38" i="35"/>
  <c r="L55" i="35" s="1"/>
  <c r="K28" i="35"/>
  <c r="L66" i="35" s="1"/>
  <c r="K30" i="35"/>
  <c r="L68" i="35" s="1"/>
  <c r="K42" i="35"/>
  <c r="K25" i="35"/>
  <c r="L63" i="35" s="1"/>
  <c r="L74" i="35" l="1"/>
  <c r="L36" i="35"/>
  <c r="L51" i="35"/>
  <c r="L34" i="35"/>
  <c r="L54" i="35"/>
  <c r="L37" i="35"/>
  <c r="K47" i="35"/>
  <c r="L47" i="35" s="1"/>
  <c r="J41" i="35"/>
  <c r="K24" i="35"/>
  <c r="L42" i="35"/>
  <c r="L25" i="35"/>
  <c r="L45" i="35"/>
  <c r="L28" i="35"/>
  <c r="L30" i="35"/>
  <c r="L50" i="35"/>
  <c r="L33" i="35"/>
  <c r="L53" i="35" l="1"/>
  <c r="K41" i="35"/>
  <c r="G10" i="9" l="1"/>
  <c r="E10" i="9"/>
  <c r="L10" i="9" l="1"/>
  <c r="D10" i="9" l="1"/>
  <c r="E5" i="9" l="1"/>
  <c r="G5" i="9"/>
  <c r="F14" i="17" l="1"/>
  <c r="C22" i="30" s="1"/>
  <c r="F10" i="17" l="1"/>
  <c r="F4" i="17" l="1"/>
  <c r="G4" i="17" s="1"/>
  <c r="C18" i="30" l="1"/>
  <c r="K13" i="54"/>
  <c r="K20" i="54" s="1"/>
  <c r="J13" i="54"/>
  <c r="J20" i="54" s="1"/>
  <c r="I13" i="54"/>
  <c r="I20" i="54" s="1"/>
  <c r="H13" i="54"/>
  <c r="H20" i="54" s="1"/>
  <c r="K12" i="54"/>
  <c r="K19" i="54" s="1"/>
  <c r="J12" i="54"/>
  <c r="J19" i="54" s="1"/>
  <c r="I12" i="54"/>
  <c r="I19" i="54" s="1"/>
  <c r="H12" i="54"/>
  <c r="H19" i="54" s="1"/>
  <c r="K11" i="54"/>
  <c r="K18" i="54" s="1"/>
  <c r="J11" i="54"/>
  <c r="J18" i="54" s="1"/>
  <c r="I11" i="54"/>
  <c r="I18" i="54" s="1"/>
  <c r="H11" i="54"/>
  <c r="K10" i="54"/>
  <c r="K17" i="54" s="1"/>
  <c r="J10" i="54"/>
  <c r="J17" i="54" s="1"/>
  <c r="I10" i="54"/>
  <c r="I17" i="54" s="1"/>
  <c r="H10" i="54"/>
  <c r="H17" i="54" s="1"/>
  <c r="G13" i="54"/>
  <c r="G20" i="54" s="1"/>
  <c r="G12" i="54"/>
  <c r="G19" i="54" s="1"/>
  <c r="G11" i="54"/>
  <c r="G18" i="54" s="1"/>
  <c r="G10" i="54"/>
  <c r="G17" i="54" s="1"/>
  <c r="H18" i="54"/>
  <c r="D8" i="9" l="1"/>
  <c r="G14" i="9" l="1"/>
  <c r="E14" i="9"/>
  <c r="D14" i="9"/>
  <c r="F14" i="9" l="1"/>
  <c r="H14" i="9"/>
  <c r="G8" i="9"/>
  <c r="E8" i="9"/>
  <c r="G13" i="9" l="1"/>
  <c r="E13" i="9"/>
  <c r="E9" i="9" l="1"/>
  <c r="G9" i="9"/>
  <c r="F7" i="17" l="1"/>
  <c r="G7" i="17" l="1"/>
  <c r="C21" i="30" l="1"/>
  <c r="D21" i="30" l="1"/>
  <c r="E21" i="30"/>
  <c r="D13" i="9"/>
  <c r="F13" i="9" l="1"/>
  <c r="H13" i="9"/>
  <c r="D5" i="9" l="1"/>
  <c r="G6" i="9" l="1"/>
  <c r="G7" i="9"/>
  <c r="E6" i="9"/>
  <c r="D7" i="9"/>
  <c r="D6" i="9"/>
  <c r="E7" i="9"/>
  <c r="D9" i="9"/>
  <c r="D22" i="30" l="1"/>
  <c r="F8" i="17"/>
  <c r="G8" i="17" s="1"/>
  <c r="F12" i="17"/>
  <c r="G12" i="17" s="1"/>
  <c r="F11" i="17"/>
  <c r="C27" i="30" l="1"/>
  <c r="F9" i="17"/>
  <c r="G9" i="17" s="1"/>
  <c r="E22" i="30"/>
  <c r="C25" i="30" l="1"/>
  <c r="F5" i="17" l="1"/>
  <c r="F6" i="17"/>
  <c r="F3" i="17"/>
  <c r="G3" i="17" s="1"/>
  <c r="C35" i="54" l="1"/>
  <c r="F4" i="54" s="1"/>
  <c r="C30" i="58" s="1"/>
  <c r="C34" i="54"/>
  <c r="F3" i="54" s="1"/>
  <c r="C35" i="58" s="1"/>
  <c r="E36" i="58" l="1"/>
  <c r="C36" i="58"/>
  <c r="C37" i="58" s="1"/>
  <c r="D36" i="58"/>
  <c r="D37" i="58" s="1"/>
  <c r="C31" i="58"/>
  <c r="C32" i="58" s="1"/>
  <c r="D31" i="58"/>
  <c r="D32" i="58" s="1"/>
  <c r="E31" i="58"/>
  <c r="C26" i="54"/>
  <c r="C25" i="54"/>
  <c r="F22" i="30"/>
  <c r="F25" i="30"/>
  <c r="E32" i="58" l="1"/>
  <c r="F85" i="35"/>
  <c r="E37" i="58"/>
  <c r="F84" i="35"/>
  <c r="B4" i="55"/>
  <c r="G4" i="55"/>
  <c r="F4" i="55"/>
  <c r="E4" i="55"/>
  <c r="D4" i="55"/>
  <c r="C4" i="55"/>
  <c r="F15" i="35" l="1"/>
  <c r="F3" i="35" s="1"/>
  <c r="H17" i="9"/>
  <c r="F17" i="9"/>
  <c r="H5" i="9"/>
  <c r="M15" i="35" l="1"/>
  <c r="N15" i="35" s="1"/>
  <c r="N70" i="35" s="1"/>
  <c r="F32" i="35"/>
  <c r="G70" i="35" s="1"/>
  <c r="G58" i="35" s="1"/>
  <c r="G60" i="35" s="1"/>
  <c r="F70" i="35"/>
  <c r="F58" i="35" s="1"/>
  <c r="F61" i="35" s="1"/>
  <c r="F6" i="35"/>
  <c r="F4" i="35"/>
  <c r="G4" i="35" s="1"/>
  <c r="H4" i="35" s="1"/>
  <c r="I4" i="35" s="1"/>
  <c r="J4" i="35" s="1"/>
  <c r="K4" i="35" s="1"/>
  <c r="F10" i="9"/>
  <c r="H10" i="9"/>
  <c r="N3" i="35" l="1"/>
  <c r="F23" i="35"/>
  <c r="G32" i="35"/>
  <c r="G23" i="35" s="1"/>
  <c r="F60" i="35"/>
  <c r="F49" i="35"/>
  <c r="G49" i="35" s="1"/>
  <c r="F5" i="35"/>
  <c r="M35" i="35" s="1"/>
  <c r="G61" i="35"/>
  <c r="E23" i="30"/>
  <c r="E18" i="30"/>
  <c r="D23" i="30"/>
  <c r="D18" i="30"/>
  <c r="H70" i="35" l="1"/>
  <c r="H58" i="35" s="1"/>
  <c r="H60" i="35" s="1"/>
  <c r="H32" i="35"/>
  <c r="H23" i="35" s="1"/>
  <c r="G5" i="35"/>
  <c r="P35" i="35" s="1"/>
  <c r="F40" i="35"/>
  <c r="H61" i="35"/>
  <c r="G40" i="35"/>
  <c r="F5" i="9"/>
  <c r="H49" i="35" l="1"/>
  <c r="I70" i="35"/>
  <c r="I58" i="35" s="1"/>
  <c r="I60" i="35" s="1"/>
  <c r="I32" i="35"/>
  <c r="J70" i="35" s="1"/>
  <c r="J58" i="35" s="1"/>
  <c r="J60" i="35" s="1"/>
  <c r="H5" i="35"/>
  <c r="H40" i="35"/>
  <c r="F13" i="17"/>
  <c r="F15" i="17" s="1"/>
  <c r="E15" i="17"/>
  <c r="I49" i="35" l="1"/>
  <c r="I40" i="35" s="1"/>
  <c r="I23" i="35"/>
  <c r="J32" i="35"/>
  <c r="J23" i="35" s="1"/>
  <c r="I61" i="35"/>
  <c r="J61" i="35" s="1"/>
  <c r="I5" i="35"/>
  <c r="J5" i="35" s="1"/>
  <c r="B99" i="38"/>
  <c r="B88" i="17"/>
  <c r="B75" i="15"/>
  <c r="J49" i="35" l="1"/>
  <c r="J40" i="35" s="1"/>
  <c r="K32" i="35"/>
  <c r="L70" i="35" s="1"/>
  <c r="K70" i="35"/>
  <c r="K58" i="35" s="1"/>
  <c r="K60" i="35" s="1"/>
  <c r="C5" i="15"/>
  <c r="B20" i="9"/>
  <c r="B19" i="9"/>
  <c r="K49" i="35" l="1"/>
  <c r="L49" i="35" s="1"/>
  <c r="K23" i="35"/>
  <c r="L32" i="35"/>
  <c r="K61" i="35"/>
  <c r="K5" i="35"/>
  <c r="K40" i="35" l="1"/>
  <c r="G6" i="17"/>
  <c r="G5" i="17"/>
  <c r="G13" i="17"/>
  <c r="G15" i="17" s="1"/>
  <c r="C24" i="30" l="1"/>
  <c r="C17" i="30"/>
  <c r="C20" i="30"/>
  <c r="C19" i="30"/>
  <c r="D17" i="30" l="1"/>
  <c r="E17" i="30"/>
  <c r="D24" i="30"/>
  <c r="E24" i="30"/>
  <c r="C27" i="54" l="1"/>
  <c r="D27" i="54" s="1"/>
  <c r="C29" i="54" l="1"/>
  <c r="C32" i="54" s="1"/>
  <c r="C30" i="54"/>
  <c r="D30" i="54" s="1"/>
  <c r="D26" i="54"/>
  <c r="D25" i="54"/>
  <c r="C28" i="54"/>
  <c r="D28" i="54" s="1"/>
  <c r="E3" i="38"/>
  <c r="G19" i="30" s="1"/>
  <c r="E7" i="38"/>
  <c r="E4" i="38"/>
  <c r="H19" i="30" s="1"/>
  <c r="D29" i="54" l="1"/>
  <c r="D32" i="54"/>
  <c r="C31" i="54"/>
  <c r="D31" i="54" s="1"/>
  <c r="F17" i="30" l="1"/>
  <c r="F18" i="30"/>
  <c r="F24" i="30"/>
  <c r="F23" i="30"/>
  <c r="F21" i="30"/>
  <c r="E8" i="38" l="1"/>
  <c r="E9" i="38" l="1"/>
  <c r="I19" i="30" s="1"/>
  <c r="L6" i="35" l="1"/>
  <c r="L62" i="35"/>
  <c r="L41" i="35" l="1"/>
  <c r="L40" i="35" s="1"/>
  <c r="L3" i="35"/>
  <c r="M3" i="35" s="1"/>
  <c r="L24" i="35"/>
  <c r="L23" i="35" s="1"/>
  <c r="L58" i="35"/>
  <c r="L4" i="35" l="1"/>
  <c r="L5" i="35"/>
  <c r="L60" i="35"/>
  <c r="L61" i="35"/>
  <c r="C11" i="30" l="1"/>
  <c r="C7" i="30"/>
  <c r="C12" i="30"/>
  <c r="D12" i="30" l="1"/>
  <c r="F12" i="30" s="1"/>
  <c r="C13" i="30"/>
  <c r="C15" i="30"/>
  <c r="F15" i="30" s="1"/>
  <c r="C9" i="30"/>
  <c r="C14" i="30"/>
  <c r="F14" i="30" s="1"/>
  <c r="C8" i="30"/>
  <c r="C10" i="30"/>
  <c r="F10" i="30" s="1"/>
  <c r="D7" i="30"/>
  <c r="E7" i="30"/>
  <c r="D11" i="30"/>
  <c r="E11" i="30"/>
  <c r="F11" i="30" s="1"/>
  <c r="E9" i="30" l="1"/>
  <c r="F9" i="30" s="1"/>
  <c r="D8" i="30"/>
  <c r="E13" i="30"/>
  <c r="F13" i="30" s="1"/>
  <c r="C34" i="30"/>
  <c r="F7" i="30"/>
  <c r="I27" i="30" l="1"/>
  <c r="I29" i="30" s="1"/>
  <c r="I32" i="30" s="1"/>
  <c r="E27" i="30"/>
  <c r="D28" i="30"/>
  <c r="D27" i="30"/>
  <c r="H27" i="30"/>
  <c r="H29" i="30" s="1"/>
  <c r="H32" i="30" s="1"/>
  <c r="E28" i="30"/>
  <c r="G27" i="30"/>
  <c r="G29" i="30" s="1"/>
  <c r="G32" i="30" s="1"/>
  <c r="F27" i="30"/>
  <c r="F28" i="30"/>
  <c r="E31" i="30" l="1"/>
  <c r="D29" i="30"/>
  <c r="E29" i="30"/>
  <c r="D31" i="30"/>
  <c r="F29" i="30"/>
  <c r="F31" i="30"/>
  <c r="E32" i="30" l="1"/>
  <c r="E9" i="26" s="1"/>
  <c r="F32" i="30"/>
  <c r="F9" i="26" s="1"/>
  <c r="D32" i="30"/>
  <c r="D9" i="26" l="1"/>
  <c r="C9" i="26"/>
</calcChain>
</file>

<file path=xl/sharedStrings.xml><?xml version="1.0" encoding="utf-8"?>
<sst xmlns="http://schemas.openxmlformats.org/spreadsheetml/2006/main" count="769" uniqueCount="342">
  <si>
    <t>WACC</t>
  </si>
  <si>
    <t>OPEX</t>
  </si>
  <si>
    <t>Row Labels</t>
  </si>
  <si>
    <t>Grand Total</t>
  </si>
  <si>
    <t>[m]</t>
  </si>
  <si>
    <t>-</t>
  </si>
  <si>
    <t>Left</t>
  </si>
  <si>
    <t>Top</t>
  </si>
  <si>
    <t>Right</t>
  </si>
  <si>
    <t>Bottom</t>
  </si>
  <si>
    <t>Ref</t>
  </si>
  <si>
    <t>$B$3:$H$7</t>
  </si>
  <si>
    <t>$B$46:$D$49</t>
  </si>
  <si>
    <t>CAPEX</t>
  </si>
  <si>
    <t>N/A</t>
  </si>
  <si>
    <t>Contractor / h</t>
  </si>
  <si>
    <t>Catering</t>
  </si>
  <si>
    <t>participant</t>
  </si>
  <si>
    <t>Cheltuieli excluse</t>
  </si>
  <si>
    <t>Cheltuieli cu intretinerea retelei</t>
  </si>
  <si>
    <t>Cheltuieli cu accesul insotit</t>
  </si>
  <si>
    <t>Cheltuieli cu proiecte speciale</t>
  </si>
  <si>
    <t>Cheltuieli cu asigurarea infrastructurii</t>
  </si>
  <si>
    <t>Cost lunar (EURO)</t>
  </si>
  <si>
    <t>Cost anual (EURO)</t>
  </si>
  <si>
    <t>Unitate de masura</t>
  </si>
  <si>
    <t>Valoare</t>
  </si>
  <si>
    <t>Unitate functionala de baza</t>
  </si>
  <si>
    <t>Tarif per</t>
  </si>
  <si>
    <t>Tarif (EURO / h)</t>
  </si>
  <si>
    <t>Total (EURO)</t>
  </si>
  <si>
    <t>Alte mijloace fixe</t>
  </si>
  <si>
    <t>Retea</t>
  </si>
  <si>
    <t>Amortizare (efectiva) a altor mijloace fixe</t>
  </si>
  <si>
    <t>Costuri neatribuibile (OPEX+CAPEX)</t>
  </si>
  <si>
    <t>Valoare netă Alte mijloace fixe</t>
  </si>
  <si>
    <t>Transport</t>
  </si>
  <si>
    <t>Racord</t>
  </si>
  <si>
    <t>Lucrari civile cu camerele de tragere</t>
  </si>
  <si>
    <t>TOTAL</t>
  </si>
  <si>
    <t>GRAND TOTAL</t>
  </si>
  <si>
    <t>MH HDPE</t>
  </si>
  <si>
    <t>MH Type G</t>
  </si>
  <si>
    <t>MH Type X</t>
  </si>
  <si>
    <t>MH Type T</t>
  </si>
  <si>
    <t>MH Type D</t>
  </si>
  <si>
    <t>MH Acces Galerie</t>
  </si>
  <si>
    <t>MH Unknown</t>
  </si>
  <si>
    <t>Cabinet</t>
  </si>
  <si>
    <t>Undefined</t>
  </si>
  <si>
    <t>Nod Magistrala</t>
  </si>
  <si>
    <t>MH CAD</t>
  </si>
  <si>
    <t>Materiale camere de tragere</t>
  </si>
  <si>
    <t xml:space="preserve">CAPEX corespunzator buclelor 21-26 </t>
  </si>
  <si>
    <t>conform situatiei detaliate din sheet-ul "CAPEX Exclus"</t>
  </si>
  <si>
    <t>Diferenta</t>
  </si>
  <si>
    <t>Lucrari civile cu camerele de tragere Transport</t>
  </si>
  <si>
    <t>Lucrari civile cu camerele de tragere Racord</t>
  </si>
  <si>
    <t>Lucrari civile (FiberCity)</t>
  </si>
  <si>
    <t>Materiale camere de tragere Transport</t>
  </si>
  <si>
    <t>Materiale camere de tragere Racord</t>
  </si>
  <si>
    <t>Alocare propusa</t>
  </si>
  <si>
    <t>PRET MEDIU FARA MATERIALE</t>
  </si>
  <si>
    <t>COST TOTAL FARA MATERIALE</t>
  </si>
  <si>
    <t>TubeCity Transport</t>
  </si>
  <si>
    <t>TubeCity Racord</t>
  </si>
  <si>
    <t>%</t>
  </si>
  <si>
    <t>Sum of Sum of VALOARE</t>
  </si>
  <si>
    <t>Sum of Sum of Proj Func Burdened Cost</t>
  </si>
  <si>
    <t>UTI 2012</t>
  </si>
  <si>
    <t>Unit</t>
  </si>
  <si>
    <t>RON/m</t>
  </si>
  <si>
    <t>Cost unitar ponderat</t>
  </si>
  <si>
    <t>Conducta</t>
  </si>
  <si>
    <t>Tubeta</t>
  </si>
  <si>
    <t>Conducte</t>
  </si>
  <si>
    <t>Lungime instalata de conducte</t>
  </si>
  <si>
    <t>Nota: Costul adezivului este alocat direct conductelor</t>
  </si>
  <si>
    <t>Total</t>
  </si>
  <si>
    <t>Analiza materiale (Conducte/Tubete)</t>
  </si>
  <si>
    <t>2010 - Final 2012</t>
  </si>
  <si>
    <t>Materiale (Conducta/Tubeta) Transport</t>
  </si>
  <si>
    <t>Materiale (Conducta/Tubeta) Racord</t>
  </si>
  <si>
    <t>Total (RON)</t>
  </si>
  <si>
    <t>Alte Materiale Transport</t>
  </si>
  <si>
    <t>Alte Materiale Racord</t>
  </si>
  <si>
    <t>Alte Materiale, inclusiv:</t>
  </si>
  <si>
    <t>Total Materiale Transport</t>
  </si>
  <si>
    <t>Total Materiale Racord</t>
  </si>
  <si>
    <t>Salarii</t>
  </si>
  <si>
    <t>Tubete</t>
  </si>
  <si>
    <t>Cost tevi, conducte nefolosite</t>
  </si>
  <si>
    <t>Excluded Expenses</t>
  </si>
  <si>
    <t>Royalty</t>
  </si>
  <si>
    <t>SG&amp;A</t>
  </si>
  <si>
    <t>Maintenance</t>
  </si>
  <si>
    <t>Accompanied access</t>
  </si>
  <si>
    <t>Infrastructure Insurance</t>
  </si>
  <si>
    <t>Year</t>
  </si>
  <si>
    <t>Lucrari civile (excluzand lucrarile civile specifice FiberCity)</t>
  </si>
  <si>
    <t>Costuri de finantare</t>
  </si>
  <si>
    <t>Lucrari civile specifice FiberCity</t>
  </si>
  <si>
    <t>Materiale (excluzand materialele specifice FiberCity)</t>
  </si>
  <si>
    <t>Alte materiale specifice FiberCity</t>
  </si>
  <si>
    <t>Materiale - fibra optica</t>
  </si>
  <si>
    <t>Suma facturilor privind lucrarile civile (exluzand lucrarile civile specifice FiberCity)</t>
  </si>
  <si>
    <t>Suma salariilor capitalizate pe activul de retea</t>
  </si>
  <si>
    <t>Suma facturilor cu taxele de constructie</t>
  </si>
  <si>
    <t>Suma dobanzilor si comisionalor bancare (excluse din CAPEX)</t>
  </si>
  <si>
    <t>Suma facturilor privind lucrarile civile specifice FiberCity</t>
  </si>
  <si>
    <t>Suma facturilor privind materialele (excluzand materialele specifice FiberCity)</t>
  </si>
  <si>
    <t>Suma facturilor de materiale - fibra optica</t>
  </si>
  <si>
    <t>Suma facturilor alte materiale specifice FiberCity</t>
  </si>
  <si>
    <t>Descriere</t>
  </si>
  <si>
    <t>Cota ISC</t>
  </si>
  <si>
    <t>Conform cu sheet-ul 1. CAPEX</t>
  </si>
  <si>
    <t>Cost total conducte</t>
  </si>
  <si>
    <t>Cost total tubete</t>
  </si>
  <si>
    <t>Sume 2013</t>
  </si>
  <si>
    <t>Final 2013</t>
  </si>
  <si>
    <t>Alte servicii incluse in CAPEX</t>
  </si>
  <si>
    <t>Suma facturilor de servicii incluse in CAPEX</t>
  </si>
  <si>
    <t>Alte servicii de inclus in CAPEX</t>
  </si>
  <si>
    <t>SG&amp;A- FiberCity</t>
  </si>
  <si>
    <t>SG&amp;A- TubeCity</t>
  </si>
  <si>
    <t>Total 2013 (RON)</t>
  </si>
  <si>
    <t>Cheltuieli operationale specifice serviciului FiberCity</t>
  </si>
  <si>
    <t>Tubete instalate</t>
  </si>
  <si>
    <t>Lungime Conducte</t>
  </si>
  <si>
    <t>Lungime Tubete</t>
  </si>
  <si>
    <t>Lungime Cablu FO</t>
  </si>
  <si>
    <t>Lungime Fire FO</t>
  </si>
  <si>
    <t>Lungime Cablu QR-COAX</t>
  </si>
  <si>
    <t>BUCATI</t>
  </si>
  <si>
    <t>[ALL NETWORK]</t>
  </si>
  <si>
    <t>Camereta</t>
  </si>
  <si>
    <t>Bransament</t>
  </si>
  <si>
    <t>Nod Virtual</t>
  </si>
  <si>
    <t>PRET MEDIU (EUR)</t>
  </si>
  <si>
    <t>TOTAL COST (EUR)</t>
  </si>
  <si>
    <t>2013 Total</t>
  </si>
  <si>
    <t>Cheltuieli operationale specifice serviciului TubeCity Racord (fara asigurare)</t>
  </si>
  <si>
    <t>Multiplicator</t>
  </si>
  <si>
    <t>Cheltuieli operationale specifice serviciului TubeCity Racord / Transport</t>
  </si>
  <si>
    <t>Cheltuieli cu taxa pentru constructii speciale</t>
  </si>
  <si>
    <t>Capacitate rezervata primarie</t>
  </si>
  <si>
    <t>Capacitate rezervata termen lung</t>
  </si>
  <si>
    <t>Capacitate ocupata cu cablu coax</t>
  </si>
  <si>
    <t>Lungime vanduta de conducte</t>
  </si>
  <si>
    <t>Lungime retea</t>
  </si>
  <si>
    <t>Microducts</t>
  </si>
  <si>
    <t>Toate capacitatile sunt exprimate in echivalent tubeta</t>
  </si>
  <si>
    <t>SG&amp;A- Regulated services</t>
  </si>
  <si>
    <t>Capacitate rezervata Fibercity</t>
  </si>
  <si>
    <t>Depreciation</t>
  </si>
  <si>
    <t>Interest</t>
  </si>
  <si>
    <t>Income Tax</t>
  </si>
  <si>
    <t>General Admin - Unrelated</t>
  </si>
  <si>
    <t>Call Center services</t>
  </si>
  <si>
    <t>General admin</t>
  </si>
  <si>
    <t>Salaries</t>
  </si>
  <si>
    <t>Third Party Expenses</t>
  </si>
  <si>
    <t>Contributions</t>
  </si>
  <si>
    <t>Rent</t>
  </si>
  <si>
    <t>Protocol</t>
  </si>
  <si>
    <t>Fuel</t>
  </si>
  <si>
    <t>Utilities</t>
  </si>
  <si>
    <t>Transport and business travel</t>
  </si>
  <si>
    <t>Telecommunication</t>
  </si>
  <si>
    <t>Not stored materials</t>
  </si>
  <si>
    <t>Fines</t>
  </si>
  <si>
    <t>Admintrative costs</t>
  </si>
  <si>
    <t>Taxes</t>
  </si>
  <si>
    <t>Inventory</t>
  </si>
  <si>
    <t>Insurance</t>
  </si>
  <si>
    <t>Advertising</t>
  </si>
  <si>
    <t>Commercial Discounts</t>
  </si>
  <si>
    <t>Exchange Rate Diffs</t>
  </si>
  <si>
    <t>Logistic</t>
  </si>
  <si>
    <t>Bank commision</t>
  </si>
  <si>
    <t>Audit</t>
  </si>
  <si>
    <t>Provisions</t>
  </si>
  <si>
    <t>Transfer pricing</t>
  </si>
  <si>
    <t>Pentru pct 4.4.6.</t>
  </si>
  <si>
    <t>Valoare retelei</t>
  </si>
  <si>
    <t>Observatia ANCOM 2.4</t>
  </si>
  <si>
    <t>Depreciation of other fixed assets</t>
  </si>
  <si>
    <t>1.       Infrastructura:</t>
  </si>
  <si>
    <t>2.       Echipare reala:</t>
  </si>
  <si>
    <t>4.       Ocupare/Capacitate vanduta:</t>
  </si>
  <si>
    <t>2012 Netcity</t>
  </si>
  <si>
    <t>Capac:</t>
  </si>
  <si>
    <t>Regleta:</t>
  </si>
  <si>
    <t>Cost mediu reglete si capac:</t>
  </si>
  <si>
    <t>Numar reglete pe tip camerete:</t>
  </si>
  <si>
    <t>COST MEDIU MATERIALE</t>
  </si>
  <si>
    <t>Conform bilant</t>
  </si>
  <si>
    <t>Cheltuieli cu taxa pentru constructii speciale - forecast 2014</t>
  </si>
  <si>
    <t>total de inclus in model</t>
  </si>
  <si>
    <t xml:space="preserve">Redevente </t>
  </si>
  <si>
    <t>Capacitate vanduta</t>
  </si>
  <si>
    <t>Sursa informatii: NIMS (toate capacitatile sunt exprimate in echivalent tubeta)</t>
  </si>
  <si>
    <t>Final 2014</t>
  </si>
  <si>
    <t>Final 2015</t>
  </si>
  <si>
    <t>Final 2016</t>
  </si>
  <si>
    <t>Final 2017</t>
  </si>
  <si>
    <t>Lucrari civile cu santurile (TubeCity)</t>
  </si>
  <si>
    <t>Payroll CAPEX</t>
  </si>
  <si>
    <t>Materiale (fara materiale specifice FiberCity, camere de tragere)</t>
  </si>
  <si>
    <t xml:space="preserve">Materiale - fibra optica </t>
  </si>
  <si>
    <t>Total 2017 (RON)</t>
  </si>
  <si>
    <t>5.       Camerete (Reteaua Netcity):</t>
  </si>
  <si>
    <t>2009 Total</t>
  </si>
  <si>
    <t>2010 Total</t>
  </si>
  <si>
    <t>2011 Total</t>
  </si>
  <si>
    <t>2012 Total</t>
  </si>
  <si>
    <t>2014 Total</t>
  </si>
  <si>
    <t>2015 Total</t>
  </si>
  <si>
    <t>2016 Total</t>
  </si>
  <si>
    <t>2017 Total</t>
  </si>
  <si>
    <t>Sume 2017</t>
  </si>
  <si>
    <t>Legal fees G&amp;A</t>
  </si>
  <si>
    <t>31.12.2017</t>
  </si>
  <si>
    <t>Lungime Canalizatie (RIN)</t>
  </si>
  <si>
    <t>Multiplicator Coax</t>
  </si>
  <si>
    <t>Multiplicator Cupru</t>
  </si>
  <si>
    <t>Km Coax</t>
  </si>
  <si>
    <t>Km Cupru</t>
  </si>
  <si>
    <t>Costuri indirecte</t>
  </si>
  <si>
    <t>Medie in € 2013-2017</t>
  </si>
  <si>
    <t>Venituri din productie de imobilizari corporale si necorporale (CAPEX)</t>
  </si>
  <si>
    <t>Cheltuieli TOTALE</t>
  </si>
  <si>
    <t>Impozit pe Profit</t>
  </si>
  <si>
    <t>Ajustari privind provizioanele</t>
  </si>
  <si>
    <t>CHELTUIELI MINUS CAPEX</t>
  </si>
  <si>
    <t>Check</t>
  </si>
  <si>
    <t>Costuri totale conform Trial Balance</t>
  </si>
  <si>
    <t>Alte SG&amp;A TubeCity</t>
  </si>
  <si>
    <t>Special construction tax</t>
  </si>
  <si>
    <t>Cheltuieli incluse</t>
  </si>
  <si>
    <t>Externalized services</t>
  </si>
  <si>
    <t>Consultancy cost modelling</t>
  </si>
  <si>
    <t>Other Projects - Reinvoiced</t>
  </si>
  <si>
    <t>Tip racord</t>
  </si>
  <si>
    <t>TIP A / buc</t>
  </si>
  <si>
    <t>TIP B si Speciale / buc</t>
  </si>
  <si>
    <t>Transport / km</t>
  </si>
  <si>
    <t>Lungimi medii (metri)</t>
  </si>
  <si>
    <t>Technical Consultancy</t>
  </si>
  <si>
    <t>Technical consultant</t>
  </si>
  <si>
    <t>Bransament FTTB / buc</t>
  </si>
  <si>
    <t>Reconciliere conform P&amp;L</t>
  </si>
  <si>
    <t>TOTAL CAPEX</t>
  </si>
  <si>
    <t>pieces</t>
  </si>
  <si>
    <t>2012 Group</t>
  </si>
  <si>
    <t>Legal costs</t>
  </si>
  <si>
    <t>Cost mediu unitar (RON/m)</t>
  </si>
  <si>
    <t>Ajustare tubete (RON)</t>
  </si>
  <si>
    <t>Ajustare tubete (EURO)</t>
  </si>
  <si>
    <t>Tubete instalate in exces fata de cerere si rezerva pe TL</t>
  </si>
  <si>
    <t>Conducte instalate in exces fata de cerere si rezerva pe TL</t>
  </si>
  <si>
    <t>Ajustare conducte (RON)</t>
  </si>
  <si>
    <t>Ajustare conducte (EUR)</t>
  </si>
  <si>
    <t>euro/luna</t>
  </si>
  <si>
    <t>Comunicare corporatista si PR</t>
  </si>
  <si>
    <t>IT, securitate informationala</t>
  </si>
  <si>
    <t>Juridic</t>
  </si>
  <si>
    <t>management operational, calitatii si mediului si dezvoltarea afacerii</t>
  </si>
  <si>
    <t>resurse umane</t>
  </si>
  <si>
    <t>servicii financiare</t>
  </si>
  <si>
    <t>TOTAL SG&amp;A ANNUAL</t>
  </si>
  <si>
    <t>SG&amp;A LUNAR</t>
  </si>
  <si>
    <t>Toate datele de intrare confidentiale utilizate in model au fost anonimizate si inlocuite cu valori aleatorii [marcate cu verde]</t>
  </si>
  <si>
    <t>Rezultatele modelului de cost</t>
  </si>
  <si>
    <t>curs euro/leu</t>
  </si>
  <si>
    <t>curs euro/ron</t>
  </si>
  <si>
    <t>Chelt generale si administrative ajustate</t>
  </si>
  <si>
    <t>(perechea)</t>
  </si>
  <si>
    <t>Tarife  maxime</t>
  </si>
  <si>
    <t>Valorile obtinute prin aplicarea unor formule de calcul nu reprezinta valorile reale, ci derivate din datele de intrare anonimizate</t>
  </si>
  <si>
    <t xml:space="preserve">Tarif inainte de redeverenta </t>
  </si>
  <si>
    <t>SG&amp;A pentru toate serviciile</t>
  </si>
  <si>
    <t>Tarif</t>
  </si>
  <si>
    <t>Marja aplicata conform SGA</t>
  </si>
  <si>
    <t xml:space="preserve">Alte materiale specifice FiberCity </t>
  </si>
  <si>
    <t>[km / luna]</t>
  </si>
  <si>
    <t>Cost lunar Total in EUR
EUR</t>
  </si>
  <si>
    <t>FiberCity (pereche de fibre)</t>
  </si>
  <si>
    <t>[m / luna]</t>
  </si>
  <si>
    <t>[m / luna] (pereche de fibre)</t>
  </si>
  <si>
    <t>Servicii de supervizare</t>
  </si>
  <si>
    <t>Acces insotit - in timpul programului de lucru</t>
  </si>
  <si>
    <t>[ora]</t>
  </si>
  <si>
    <t>Acces insotit - in afara programului de lucru</t>
  </si>
  <si>
    <t>Certificare</t>
  </si>
  <si>
    <t>Alte Servicii</t>
  </si>
  <si>
    <t>eveniment</t>
  </si>
  <si>
    <t>Marja OPEX</t>
  </si>
  <si>
    <t>Curs mediu de schimb EUR | RON</t>
  </si>
  <si>
    <t xml:space="preserve">Curs valutar mediu mediu </t>
  </si>
  <si>
    <t>Durata de viata</t>
  </si>
  <si>
    <t>Lucrari civile</t>
  </si>
  <si>
    <t xml:space="preserve">Materiale (fara fibra optica) </t>
  </si>
  <si>
    <t>CAPEX (RON)</t>
  </si>
  <si>
    <t>CAPEX pentru anul curent</t>
  </si>
  <si>
    <t>Valoare bruta (sold)</t>
  </si>
  <si>
    <t>Valoare neta</t>
  </si>
  <si>
    <t xml:space="preserve">Lucrari civile cu santurile (TubeCity), inclusiv: </t>
  </si>
  <si>
    <t>Salarii capitalizate pe TubeCity</t>
  </si>
  <si>
    <t>Cota ISC de constructie</t>
  </si>
  <si>
    <t xml:space="preserve">Lucrari civile (FiberCity), din care: </t>
  </si>
  <si>
    <t>Salarii capitalizate pe FiberCity</t>
  </si>
  <si>
    <t>Valoare bruta a retelei</t>
  </si>
  <si>
    <t>Lucrari civile cu santurile (TubeCity), inclusiv:</t>
  </si>
  <si>
    <t>Taxe ISC de constructie</t>
  </si>
  <si>
    <t>Valoare neta a retelei</t>
  </si>
  <si>
    <t xml:space="preserve">Amortizare (ajustata) a retelei </t>
  </si>
  <si>
    <t>Amortizare contabila pentru anul curent</t>
  </si>
  <si>
    <t>Amortizare cumulata</t>
  </si>
  <si>
    <t xml:space="preserve">Categorii de costuri CAPEX excluse din calcul </t>
  </si>
  <si>
    <t>CAPEX Anualizat</t>
  </si>
  <si>
    <t>Baza de calcul</t>
  </si>
  <si>
    <t xml:space="preserve"> medie aritmetica 2013 si 2017</t>
  </si>
  <si>
    <t>valoarea aferenta chiriei actuale</t>
  </si>
  <si>
    <t>valoarea actuala conform sit. Mijloacelor fixe furnizate de Netcity</t>
  </si>
  <si>
    <t>valoarea din 2017 (cea din 2013 era excesiva in comparatie cu nivelul actual)</t>
  </si>
  <si>
    <t>valoarea aferenta sediului actual</t>
  </si>
  <si>
    <t>analizate mai jos, in detaliu</t>
  </si>
  <si>
    <t>valoarea actuala (2017)</t>
  </si>
  <si>
    <t>a inregistrat valori doar in 2013</t>
  </si>
  <si>
    <t>eliminate</t>
  </si>
  <si>
    <t xml:space="preserve">mentinute doar cele din chelt generale </t>
  </si>
  <si>
    <t>AJUSTARE ANCOM</t>
  </si>
  <si>
    <t>Acces insotit</t>
  </si>
  <si>
    <t>Marja</t>
  </si>
  <si>
    <t>In timpul programului de lucru</t>
  </si>
  <si>
    <t>In afara programului de lucru</t>
  </si>
  <si>
    <t xml:space="preserve">Certificare </t>
  </si>
  <si>
    <t>Cost instruire</t>
  </si>
  <si>
    <t>Cost per eveniment</t>
  </si>
  <si>
    <t>marja</t>
  </si>
  <si>
    <t>benchmark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</si>
</sst>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\ _z_ł_-;\-* #,##0\ _z_ł_-;_-* &quot;-&quot;\ _z_ł_-;_-@_-"/>
    <numFmt numFmtId="166" formatCode="_-* #,##0.00\ _z_ł_-;\-* #,##0.00\ _z_ł_-;_-* &quot;-&quot;??\ _z_ł_-;_-@_-"/>
    <numFmt numFmtId="167" formatCode="_(* #,##0_);_(* \(#,##0\);_(* &quot;-&quot;??_);_(@_)"/>
    <numFmt numFmtId="168" formatCode="_-* #,##0\ _z_ł_-;\-* #,##0\ _z_ł_-;_-* &quot;-&quot;??\ _z_ł_-;_-@_-"/>
    <numFmt numFmtId="169" formatCode="#,##0.0"/>
    <numFmt numFmtId="170" formatCode="0.0%"/>
    <numFmt numFmtId="171" formatCode="0_);\(0\)"/>
    <numFmt numFmtId="172" formatCode="0.00000%"/>
    <numFmt numFmtId="173" formatCode="_(* #,##0.0000000_);_(* \(#,##0.0000000\);_(* &quot;-&quot;??_);_(@_)"/>
    <numFmt numFmtId="174" formatCode="0.000000"/>
    <numFmt numFmtId="175" formatCode="_(* #,##0.00_);_(* \(#,##0.00\);_(* &quot;-&quot;_);_(@_)"/>
    <numFmt numFmtId="176" formatCode="#,##0.00\ [$€-82E]"/>
    <numFmt numFmtId="177" formatCode="#,##0.00\ [$€-1]"/>
    <numFmt numFmtId="178" formatCode="#,##0.00\ [$m-1]"/>
    <numFmt numFmtId="179" formatCode="_(* #,##0.0_);_(* \(#,##0.0\);_(* &quot;-&quot;??_);_(@_)"/>
    <numFmt numFmtId="180" formatCode="_ * #,##0_)\ [$€-1]_ ;_ * \(#,##0\)\ [$€-1]_ ;_ * &quot;-&quot;_)\ [$€-1]_ ;_ @_ "/>
    <numFmt numFmtId="181" formatCode="#,##0\ [$€-1]_);\(#,##0\ [$€-1]\)"/>
    <numFmt numFmtId="182" formatCode="[$€-2]\ #,##0_);\([$€-2]\ #,##0\)"/>
    <numFmt numFmtId="183" formatCode="_(* #,##0.0000_);_(* \(#,##0.0000\);_(* &quot;-&quot;??_);_(@_)"/>
  </numFmts>
  <fonts count="7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0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1F497D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b/>
      <i/>
      <sz val="7"/>
      <name val="Arial"/>
      <family val="2"/>
      <charset val="238"/>
    </font>
    <font>
      <b/>
      <sz val="11"/>
      <color theme="3" tint="0.39997558519241921"/>
      <name val="Calibri"/>
      <family val="2"/>
      <scheme val="minor"/>
    </font>
    <font>
      <sz val="8"/>
      <color rgb="FFFF0000"/>
      <name val="Arial"/>
      <family val="2"/>
      <charset val="238"/>
    </font>
    <font>
      <b/>
      <sz val="11"/>
      <name val="Calibri"/>
      <family val="2"/>
      <scheme val="minor"/>
    </font>
    <font>
      <b/>
      <sz val="8"/>
      <color rgb="FFFF0000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6" tint="0.3999450666829432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theme="3" tint="0.399914548173467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9" fontId="25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39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42" fillId="13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25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67" fillId="0" borderId="0" applyNumberFormat="0" applyFill="0" applyBorder="0" applyAlignment="0" applyProtection="0"/>
    <xf numFmtId="0" fontId="2" fillId="0" borderId="0"/>
  </cellStyleXfs>
  <cellXfs count="561">
    <xf numFmtId="0" fontId="0" fillId="0" borderId="0" xfId="0"/>
    <xf numFmtId="0" fontId="22" fillId="0" borderId="0" xfId="0" applyFont="1"/>
    <xf numFmtId="0" fontId="22" fillId="0" borderId="0" xfId="0" applyFont="1" applyBorder="1"/>
    <xf numFmtId="0" fontId="23" fillId="0" borderId="0" xfId="0" applyFont="1" applyBorder="1" applyAlignment="1">
      <alignment horizontal="justify" vertical="top"/>
    </xf>
    <xf numFmtId="0" fontId="24" fillId="0" borderId="0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justify" vertical="top"/>
    </xf>
    <xf numFmtId="0" fontId="22" fillId="2" borderId="1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>
      <alignment horizontal="justify" vertical="top"/>
    </xf>
    <xf numFmtId="3" fontId="22" fillId="0" borderId="1" xfId="0" applyNumberFormat="1" applyFont="1" applyBorder="1"/>
    <xf numFmtId="0" fontId="28" fillId="0" borderId="0" xfId="0" applyFont="1" applyBorder="1"/>
    <xf numFmtId="0" fontId="24" fillId="0" borderId="0" xfId="0" applyFont="1" applyFill="1" applyBorder="1" applyAlignment="1">
      <alignment horizontal="left" vertical="top" wrapText="1"/>
    </xf>
    <xf numFmtId="3" fontId="22" fillId="0" borderId="0" xfId="0" applyNumberFormat="1" applyFont="1" applyAlignment="1"/>
    <xf numFmtId="166" fontId="22" fillId="0" borderId="1" xfId="0" applyNumberFormat="1" applyFont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/>
    </xf>
    <xf numFmtId="166" fontId="22" fillId="0" borderId="0" xfId="0" applyNumberFormat="1" applyFont="1" applyBorder="1"/>
    <xf numFmtId="0" fontId="22" fillId="0" borderId="0" xfId="0" applyFont="1" applyFill="1"/>
    <xf numFmtId="0" fontId="29" fillId="0" borderId="0" xfId="0" applyFont="1" applyFill="1" applyBorder="1" applyAlignment="1">
      <alignment horizontal="left" vertical="center" wrapText="1" indent="2"/>
    </xf>
    <xf numFmtId="0" fontId="22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22" fillId="0" borderId="0" xfId="0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 indent="6"/>
    </xf>
    <xf numFmtId="0" fontId="22" fillId="0" borderId="0" xfId="0" applyFont="1" applyBorder="1" applyAlignment="1">
      <alignment horizontal="center"/>
    </xf>
    <xf numFmtId="3" fontId="22" fillId="0" borderId="0" xfId="0" applyNumberFormat="1" applyFont="1" applyBorder="1" applyAlignment="1"/>
    <xf numFmtId="168" fontId="22" fillId="0" borderId="0" xfId="0" applyNumberFormat="1" applyFont="1" applyBorder="1"/>
    <xf numFmtId="168" fontId="23" fillId="2" borderId="1" xfId="0" applyNumberFormat="1" applyFont="1" applyFill="1" applyBorder="1" applyAlignment="1">
      <alignment horizontal="justify" vertical="top"/>
    </xf>
    <xf numFmtId="3" fontId="22" fillId="0" borderId="0" xfId="0" applyNumberFormat="1" applyFont="1"/>
    <xf numFmtId="0" fontId="17" fillId="0" borderId="0" xfId="13"/>
    <xf numFmtId="0" fontId="34" fillId="0" borderId="1" xfId="13" applyFont="1" applyBorder="1" applyAlignment="1">
      <alignment horizontal="left" vertical="center" wrapText="1" indent="2"/>
    </xf>
    <xf numFmtId="0" fontId="24" fillId="0" borderId="1" xfId="13" applyFont="1" applyBorder="1" applyAlignment="1">
      <alignment horizontal="left" vertical="center" wrapText="1" indent="4"/>
    </xf>
    <xf numFmtId="0" fontId="24" fillId="0" borderId="0" xfId="13" applyFont="1" applyBorder="1" applyAlignment="1">
      <alignment horizontal="left" vertical="center" wrapText="1" indent="4"/>
    </xf>
    <xf numFmtId="0" fontId="38" fillId="0" borderId="0" xfId="13" applyFont="1"/>
    <xf numFmtId="0" fontId="22" fillId="0" borderId="1" xfId="13" applyFont="1" applyFill="1" applyBorder="1" applyAlignment="1">
      <alignment horizontal="left" indent="2"/>
    </xf>
    <xf numFmtId="3" fontId="22" fillId="0" borderId="0" xfId="0" applyNumberFormat="1" applyFont="1" applyFill="1"/>
    <xf numFmtId="0" fontId="36" fillId="0" borderId="1" xfId="13" applyFont="1" applyFill="1" applyBorder="1" applyAlignment="1">
      <alignment horizontal="left" vertical="center" indent="6"/>
    </xf>
    <xf numFmtId="0" fontId="22" fillId="0" borderId="0" xfId="13" applyFont="1" applyFill="1" applyBorder="1" applyAlignment="1">
      <alignment horizontal="left" indent="2"/>
    </xf>
    <xf numFmtId="43" fontId="17" fillId="0" borderId="0" xfId="13" applyNumberFormat="1"/>
    <xf numFmtId="0" fontId="23" fillId="0" borderId="25" xfId="0" applyFont="1" applyBorder="1" applyAlignment="1">
      <alignment horizontal="center"/>
    </xf>
    <xf numFmtId="0" fontId="13" fillId="0" borderId="0" xfId="13" applyFont="1"/>
    <xf numFmtId="165" fontId="22" fillId="2" borderId="0" xfId="0" applyNumberFormat="1" applyFont="1" applyFill="1" applyBorder="1" applyAlignment="1">
      <alignment horizontal="justify" vertical="top"/>
    </xf>
    <xf numFmtId="3" fontId="22" fillId="0" borderId="17" xfId="0" applyNumberFormat="1" applyFont="1" applyBorder="1"/>
    <xf numFmtId="3" fontId="22" fillId="0" borderId="11" xfId="0" applyNumberFormat="1" applyFont="1" applyBorder="1"/>
    <xf numFmtId="165" fontId="22" fillId="2" borderId="0" xfId="0" applyNumberFormat="1" applyFont="1" applyFill="1" applyBorder="1" applyAlignment="1">
      <alignment horizontal="left" vertical="top" indent="1"/>
    </xf>
    <xf numFmtId="166" fontId="22" fillId="0" borderId="1" xfId="0" applyNumberFormat="1" applyFont="1" applyBorder="1"/>
    <xf numFmtId="168" fontId="22" fillId="0" borderId="1" xfId="0" applyNumberFormat="1" applyFont="1" applyBorder="1" applyAlignment="1">
      <alignment horizontal="center"/>
    </xf>
    <xf numFmtId="168" fontId="22" fillId="2" borderId="1" xfId="0" applyNumberFormat="1" applyFont="1" applyFill="1" applyBorder="1"/>
    <xf numFmtId="4" fontId="22" fillId="0" borderId="1" xfId="0" applyNumberFormat="1" applyFont="1" applyBorder="1" applyAlignment="1">
      <alignment horizontal="right" vertical="center" wrapText="1" indent="1"/>
    </xf>
    <xf numFmtId="4" fontId="22" fillId="0" borderId="1" xfId="0" applyNumberFormat="1" applyFont="1" applyFill="1" applyBorder="1" applyAlignment="1">
      <alignment horizontal="right" vertical="center" wrapText="1" indent="1"/>
    </xf>
    <xf numFmtId="168" fontId="24" fillId="0" borderId="11" xfId="0" applyNumberFormat="1" applyFont="1" applyBorder="1" applyAlignment="1">
      <alignment horizontal="left" vertical="center" wrapText="1" indent="2"/>
    </xf>
    <xf numFmtId="168" fontId="23" fillId="2" borderId="11" xfId="0" applyNumberFormat="1" applyFont="1" applyFill="1" applyBorder="1" applyAlignment="1">
      <alignment horizontal="justify" vertical="top"/>
    </xf>
    <xf numFmtId="0" fontId="22" fillId="2" borderId="0" xfId="0" applyFont="1" applyFill="1" applyBorder="1" applyAlignment="1">
      <alignment horizontal="justify" vertical="top"/>
    </xf>
    <xf numFmtId="0" fontId="22" fillId="2" borderId="0" xfId="0" applyFont="1" applyFill="1" applyBorder="1" applyAlignment="1">
      <alignment horizontal="center" vertical="top"/>
    </xf>
    <xf numFmtId="0" fontId="22" fillId="0" borderId="17" xfId="0" applyFont="1" applyBorder="1" applyAlignment="1">
      <alignment horizontal="center"/>
    </xf>
    <xf numFmtId="3" fontId="22" fillId="0" borderId="15" xfId="0" applyNumberFormat="1" applyFont="1" applyFill="1" applyBorder="1" applyAlignment="1"/>
    <xf numFmtId="0" fontId="22" fillId="0" borderId="11" xfId="0" applyFont="1" applyBorder="1" applyAlignment="1">
      <alignment horizontal="center"/>
    </xf>
    <xf numFmtId="3" fontId="22" fillId="0" borderId="3" xfId="0" applyNumberFormat="1" applyFont="1" applyFill="1" applyBorder="1" applyAlignment="1"/>
    <xf numFmtId="0" fontId="22" fillId="0" borderId="10" xfId="0" applyFont="1" applyBorder="1" applyAlignment="1">
      <alignment horizontal="center"/>
    </xf>
    <xf numFmtId="0" fontId="29" fillId="9" borderId="11" xfId="0" applyFont="1" applyFill="1" applyBorder="1" applyAlignment="1">
      <alignment horizontal="left" vertical="center" wrapText="1" indent="2"/>
    </xf>
    <xf numFmtId="165" fontId="22" fillId="2" borderId="0" xfId="0" applyNumberFormat="1" applyFont="1" applyFill="1" applyBorder="1" applyAlignment="1">
      <alignment horizontal="center" vertical="center"/>
    </xf>
    <xf numFmtId="9" fontId="24" fillId="0" borderId="19" xfId="1" applyFont="1" applyBorder="1" applyAlignment="1">
      <alignment horizontal="left" vertical="center" wrapText="1" indent="4"/>
    </xf>
    <xf numFmtId="168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8" fontId="22" fillId="0" borderId="28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indent="1"/>
    </xf>
    <xf numFmtId="0" fontId="22" fillId="0" borderId="16" xfId="0" applyFont="1" applyBorder="1"/>
    <xf numFmtId="0" fontId="22" fillId="0" borderId="15" xfId="0" applyFont="1" applyBorder="1"/>
    <xf numFmtId="0" fontId="22" fillId="0" borderId="10" xfId="0" applyFont="1" applyBorder="1" applyAlignment="1">
      <alignment horizontal="left" indent="1"/>
    </xf>
    <xf numFmtId="0" fontId="22" fillId="0" borderId="9" xfId="0" applyFont="1" applyBorder="1"/>
    <xf numFmtId="0" fontId="22" fillId="0" borderId="8" xfId="0" applyFont="1" applyBorder="1"/>
    <xf numFmtId="0" fontId="22" fillId="0" borderId="17" xfId="0" applyFont="1" applyBorder="1"/>
    <xf numFmtId="2" fontId="22" fillId="0" borderId="15" xfId="0" applyNumberFormat="1" applyFont="1" applyBorder="1"/>
    <xf numFmtId="0" fontId="22" fillId="0" borderId="10" xfId="0" applyFont="1" applyBorder="1"/>
    <xf numFmtId="2" fontId="22" fillId="0" borderId="22" xfId="0" applyNumberFormat="1" applyFont="1" applyBorder="1"/>
    <xf numFmtId="2" fontId="22" fillId="0" borderId="30" xfId="0" applyNumberFormat="1" applyFont="1" applyFill="1" applyBorder="1"/>
    <xf numFmtId="165" fontId="22" fillId="9" borderId="0" xfId="0" applyNumberFormat="1" applyFont="1" applyFill="1" applyBorder="1" applyAlignment="1">
      <alignment horizontal="center" vertical="center"/>
    </xf>
    <xf numFmtId="165" fontId="22" fillId="6" borderId="0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left" vertical="center" wrapText="1" indent="2"/>
    </xf>
    <xf numFmtId="0" fontId="40" fillId="7" borderId="17" xfId="0" applyFont="1" applyFill="1" applyBorder="1" applyAlignment="1">
      <alignment horizontal="left" vertical="center" wrapText="1" indent="2"/>
    </xf>
    <xf numFmtId="0" fontId="40" fillId="7" borderId="16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left" vertical="center" wrapText="1" indent="2"/>
    </xf>
    <xf numFmtId="0" fontId="40" fillId="7" borderId="1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left" vertical="center" wrapText="1"/>
    </xf>
    <xf numFmtId="0" fontId="34" fillId="0" borderId="1" xfId="13" applyFont="1" applyBorder="1" applyAlignment="1">
      <alignment horizontal="left" vertical="center" wrapText="1" indent="3"/>
    </xf>
    <xf numFmtId="0" fontId="22" fillId="0" borderId="17" xfId="0" applyFont="1" applyBorder="1" applyAlignment="1">
      <alignment horizontal="left" vertical="center" wrapText="1" indent="2"/>
    </xf>
    <xf numFmtId="10" fontId="22" fillId="0" borderId="15" xfId="1" applyNumberFormat="1" applyFont="1" applyBorder="1"/>
    <xf numFmtId="0" fontId="22" fillId="0" borderId="10" xfId="0" applyFont="1" applyBorder="1" applyAlignment="1">
      <alignment horizontal="left" vertical="center" wrapText="1" indent="2"/>
    </xf>
    <xf numFmtId="10" fontId="22" fillId="0" borderId="8" xfId="1" applyNumberFormat="1" applyFont="1" applyBorder="1"/>
    <xf numFmtId="0" fontId="24" fillId="0" borderId="17" xfId="0" applyFont="1" applyFill="1" applyBorder="1" applyAlignment="1">
      <alignment horizontal="left" vertical="top" wrapText="1" indent="2"/>
    </xf>
    <xf numFmtId="0" fontId="24" fillId="0" borderId="11" xfId="0" applyFont="1" applyFill="1" applyBorder="1" applyAlignment="1">
      <alignment horizontal="left" vertical="top" wrapText="1" indent="2"/>
    </xf>
    <xf numFmtId="0" fontId="22" fillId="0" borderId="3" xfId="0" applyFont="1" applyBorder="1"/>
    <xf numFmtId="0" fontId="24" fillId="0" borderId="17" xfId="13" applyFont="1" applyBorder="1" applyAlignment="1">
      <alignment horizontal="left" vertical="center" wrapText="1" indent="2"/>
    </xf>
    <xf numFmtId="0" fontId="24" fillId="0" borderId="11" xfId="13" applyFont="1" applyBorder="1" applyAlignment="1">
      <alignment horizontal="left" vertical="center" wrapText="1" indent="2"/>
    </xf>
    <xf numFmtId="0" fontId="24" fillId="0" borderId="10" xfId="13" applyFont="1" applyBorder="1" applyAlignment="1">
      <alignment horizontal="left" vertical="center" wrapText="1" indent="2"/>
    </xf>
    <xf numFmtId="0" fontId="24" fillId="0" borderId="8" xfId="13" applyFont="1" applyBorder="1" applyAlignment="1">
      <alignment horizontal="left" vertical="center" wrapText="1" indent="4"/>
    </xf>
    <xf numFmtId="168" fontId="22" fillId="0" borderId="1" xfId="0" applyNumberFormat="1" applyFont="1" applyBorder="1" applyAlignment="1">
      <alignment horizontal="left" indent="4"/>
    </xf>
    <xf numFmtId="0" fontId="33" fillId="10" borderId="32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left" vertical="center" wrapText="1"/>
    </xf>
    <xf numFmtId="168" fontId="30" fillId="8" borderId="10" xfId="0" applyNumberFormat="1" applyFont="1" applyFill="1" applyBorder="1" applyAlignment="1">
      <alignment horizontal="left" vertical="center" wrapText="1" indent="2"/>
    </xf>
    <xf numFmtId="166" fontId="30" fillId="8" borderId="9" xfId="0" applyNumberFormat="1" applyFont="1" applyFill="1" applyBorder="1" applyAlignment="1">
      <alignment horizontal="center" vertical="center" wrapText="1"/>
    </xf>
    <xf numFmtId="0" fontId="37" fillId="0" borderId="1" xfId="25" applyFont="1" applyFill="1" applyBorder="1" applyAlignment="1">
      <alignment horizontal="left" vertical="center" wrapText="1" indent="6"/>
    </xf>
    <xf numFmtId="0" fontId="22" fillId="0" borderId="1" xfId="25" applyFont="1" applyFill="1" applyBorder="1" applyAlignment="1">
      <alignment horizontal="left" indent="2"/>
    </xf>
    <xf numFmtId="0" fontId="41" fillId="0" borderId="0" xfId="26" applyFont="1"/>
    <xf numFmtId="0" fontId="41" fillId="0" borderId="0" xfId="0" applyFont="1"/>
    <xf numFmtId="0" fontId="27" fillId="14" borderId="35" xfId="0" applyFont="1" applyFill="1" applyBorder="1" applyAlignment="1">
      <alignment horizontal="center"/>
    </xf>
    <xf numFmtId="0" fontId="46" fillId="14" borderId="36" xfId="0" applyFont="1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44" fillId="10" borderId="37" xfId="0" applyFont="1" applyFill="1" applyBorder="1" applyAlignment="1">
      <alignment horizontal="center"/>
    </xf>
    <xf numFmtId="0" fontId="44" fillId="10" borderId="22" xfId="0" applyFont="1" applyFill="1" applyBorder="1" applyAlignment="1">
      <alignment horizontal="center"/>
    </xf>
    <xf numFmtId="0" fontId="43" fillId="10" borderId="39" xfId="0" applyFont="1" applyFill="1" applyBorder="1" applyAlignment="1">
      <alignment horizontal="left" indent="1"/>
    </xf>
    <xf numFmtId="0" fontId="0" fillId="14" borderId="42" xfId="0" applyFill="1" applyBorder="1" applyAlignment="1">
      <alignment horizontal="left" indent="2"/>
    </xf>
    <xf numFmtId="43" fontId="27" fillId="15" borderId="42" xfId="0" applyNumberFormat="1" applyFont="1" applyFill="1" applyBorder="1"/>
    <xf numFmtId="0" fontId="0" fillId="14" borderId="24" xfId="0" applyFill="1" applyBorder="1" applyAlignment="1">
      <alignment horizontal="left" indent="2"/>
    </xf>
    <xf numFmtId="43" fontId="0" fillId="0" borderId="11" xfId="0" applyNumberFormat="1" applyBorder="1"/>
    <xf numFmtId="43" fontId="0" fillId="0" borderId="3" xfId="0" applyNumberFormat="1" applyBorder="1"/>
    <xf numFmtId="43" fontId="27" fillId="0" borderId="24" xfId="0" applyNumberFormat="1" applyFont="1" applyBorder="1"/>
    <xf numFmtId="43" fontId="0" fillId="0" borderId="46" xfId="0" applyNumberFormat="1" applyBorder="1"/>
    <xf numFmtId="43" fontId="0" fillId="0" borderId="47" xfId="0" applyNumberFormat="1" applyBorder="1"/>
    <xf numFmtId="43" fontId="27" fillId="0" borderId="45" xfId="0" applyNumberFormat="1" applyFont="1" applyBorder="1"/>
    <xf numFmtId="41" fontId="27" fillId="14" borderId="40" xfId="0" applyNumberFormat="1" applyFont="1" applyFill="1" applyBorder="1"/>
    <xf numFmtId="41" fontId="27" fillId="14" borderId="41" xfId="0" applyNumberFormat="1" applyFont="1" applyFill="1" applyBorder="1"/>
    <xf numFmtId="41" fontId="27" fillId="15" borderId="39" xfId="0" applyNumberFormat="1" applyFont="1" applyFill="1" applyBorder="1"/>
    <xf numFmtId="41" fontId="0" fillId="0" borderId="43" xfId="0" applyNumberFormat="1" applyBorder="1"/>
    <xf numFmtId="41" fontId="0" fillId="0" borderId="44" xfId="0" applyNumberFormat="1" applyBorder="1"/>
    <xf numFmtId="41" fontId="27" fillId="0" borderId="42" xfId="0" applyNumberFormat="1" applyFont="1" applyBorder="1"/>
    <xf numFmtId="41" fontId="0" fillId="14" borderId="43" xfId="0" applyNumberFormat="1" applyFill="1" applyBorder="1"/>
    <xf numFmtId="41" fontId="0" fillId="14" borderId="44" xfId="0" applyNumberFormat="1" applyFill="1" applyBorder="1"/>
    <xf numFmtId="41" fontId="0" fillId="0" borderId="11" xfId="0" applyNumberFormat="1" applyBorder="1"/>
    <xf numFmtId="41" fontId="0" fillId="0" borderId="3" xfId="0" applyNumberFormat="1" applyBorder="1"/>
    <xf numFmtId="41" fontId="27" fillId="0" borderId="24" xfId="0" applyNumberFormat="1" applyFont="1" applyBorder="1"/>
    <xf numFmtId="41" fontId="0" fillId="0" borderId="46" xfId="0" applyNumberFormat="1" applyBorder="1"/>
    <xf numFmtId="41" fontId="0" fillId="0" borderId="47" xfId="0" applyNumberFormat="1" applyBorder="1"/>
    <xf numFmtId="41" fontId="27" fillId="0" borderId="45" xfId="0" applyNumberFormat="1" applyFont="1" applyBorder="1"/>
    <xf numFmtId="0" fontId="37" fillId="0" borderId="1" xfId="13" applyFont="1" applyBorder="1" applyAlignment="1">
      <alignment horizontal="left" vertical="center" wrapText="1" indent="4"/>
    </xf>
    <xf numFmtId="0" fontId="22" fillId="11" borderId="0" xfId="0" applyFont="1" applyFill="1" applyBorder="1" applyAlignment="1">
      <alignment horizontal="center" vertical="top"/>
    </xf>
    <xf numFmtId="165" fontId="22" fillId="11" borderId="0" xfId="0" applyNumberFormat="1" applyFont="1" applyFill="1" applyBorder="1" applyAlignment="1">
      <alignment horizontal="left" vertical="top" indent="1"/>
    </xf>
    <xf numFmtId="0" fontId="34" fillId="0" borderId="27" xfId="0" applyFont="1" applyFill="1" applyBorder="1" applyAlignment="1">
      <alignment horizontal="left" vertical="center"/>
    </xf>
    <xf numFmtId="166" fontId="22" fillId="0" borderId="26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Border="1" applyAlignment="1"/>
    <xf numFmtId="165" fontId="22" fillId="0" borderId="0" xfId="0" applyNumberFormat="1" applyFont="1" applyFill="1" applyBorder="1" applyAlignment="1">
      <alignment horizontal="left" vertical="top" indent="1"/>
    </xf>
    <xf numFmtId="0" fontId="22" fillId="2" borderId="0" xfId="0" applyFont="1" applyFill="1" applyBorder="1" applyAlignment="1">
      <alignment horizontal="left" vertical="top" indent="1"/>
    </xf>
    <xf numFmtId="0" fontId="22" fillId="0" borderId="3" xfId="0" applyFont="1" applyFill="1" applyBorder="1" applyAlignment="1">
      <alignment horizontal="center" vertical="top"/>
    </xf>
    <xf numFmtId="0" fontId="12" fillId="0" borderId="0" xfId="28"/>
    <xf numFmtId="0" fontId="12" fillId="0" borderId="31" xfId="28" applyBorder="1"/>
    <xf numFmtId="0" fontId="12" fillId="0" borderId="32" xfId="28" applyBorder="1"/>
    <xf numFmtId="0" fontId="12" fillId="0" borderId="33" xfId="28" applyBorder="1"/>
    <xf numFmtId="0" fontId="12" fillId="0" borderId="7" xfId="28" applyBorder="1" applyAlignment="1">
      <alignment horizontal="left"/>
    </xf>
    <xf numFmtId="0" fontId="12" fillId="0" borderId="6" xfId="28" applyBorder="1" applyAlignment="1">
      <alignment horizontal="left"/>
    </xf>
    <xf numFmtId="0" fontId="50" fillId="0" borderId="0" xfId="28" applyFont="1"/>
    <xf numFmtId="0" fontId="12" fillId="0" borderId="31" xfId="28" applyFont="1" applyBorder="1"/>
    <xf numFmtId="0" fontId="12" fillId="0" borderId="33" xfId="28" applyFont="1" applyBorder="1"/>
    <xf numFmtId="0" fontId="12" fillId="0" borderId="6" xfId="28" applyFont="1" applyBorder="1"/>
    <xf numFmtId="0" fontId="12" fillId="0" borderId="18" xfId="28" applyBorder="1"/>
    <xf numFmtId="0" fontId="12" fillId="0" borderId="5" xfId="28" applyFont="1" applyBorder="1"/>
    <xf numFmtId="9" fontId="22" fillId="0" borderId="0" xfId="1" applyFont="1" applyFill="1" applyBorder="1" applyAlignment="1"/>
    <xf numFmtId="9" fontId="22" fillId="0" borderId="8" xfId="1" applyFont="1" applyFill="1" applyBorder="1" applyAlignment="1"/>
    <xf numFmtId="9" fontId="22" fillId="0" borderId="3" xfId="1" applyFont="1" applyFill="1" applyBorder="1" applyAlignment="1"/>
    <xf numFmtId="0" fontId="22" fillId="0" borderId="13" xfId="0" applyFont="1" applyBorder="1" applyAlignment="1">
      <alignment horizontal="center"/>
    </xf>
    <xf numFmtId="9" fontId="22" fillId="0" borderId="14" xfId="1" applyFont="1" applyFill="1" applyBorder="1"/>
    <xf numFmtId="165" fontId="22" fillId="2" borderId="0" xfId="0" applyNumberFormat="1" applyFont="1" applyFill="1" applyBorder="1" applyAlignment="1">
      <alignment horizontal="left" vertical="center"/>
    </xf>
    <xf numFmtId="165" fontId="51" fillId="2" borderId="0" xfId="0" applyNumberFormat="1" applyFont="1" applyFill="1" applyBorder="1" applyAlignment="1">
      <alignment horizontal="left" vertical="center" indent="1"/>
    </xf>
    <xf numFmtId="165" fontId="22" fillId="6" borderId="0" xfId="0" applyNumberFormat="1" applyFont="1" applyFill="1" applyBorder="1" applyAlignment="1">
      <alignment horizontal="left" vertical="center"/>
    </xf>
    <xf numFmtId="9" fontId="22" fillId="0" borderId="15" xfId="1" applyFont="1" applyBorder="1"/>
    <xf numFmtId="9" fontId="22" fillId="0" borderId="3" xfId="1" applyFont="1" applyBorder="1"/>
    <xf numFmtId="3" fontId="51" fillId="0" borderId="11" xfId="0" applyNumberFormat="1" applyFont="1" applyBorder="1"/>
    <xf numFmtId="9" fontId="51" fillId="0" borderId="3" xfId="1" applyFont="1" applyBorder="1"/>
    <xf numFmtId="3" fontId="22" fillId="6" borderId="11" xfId="0" applyNumberFormat="1" applyFont="1" applyFill="1" applyBorder="1"/>
    <xf numFmtId="9" fontId="22" fillId="6" borderId="3" xfId="1" applyFont="1" applyFill="1" applyBorder="1"/>
    <xf numFmtId="3" fontId="51" fillId="0" borderId="10" xfId="0" applyNumberFormat="1" applyFont="1" applyBorder="1"/>
    <xf numFmtId="9" fontId="51" fillId="0" borderId="8" xfId="1" applyFont="1" applyBorder="1"/>
    <xf numFmtId="0" fontId="29" fillId="11" borderId="34" xfId="0" applyFont="1" applyFill="1" applyBorder="1" applyAlignment="1">
      <alignment horizontal="left" vertical="center"/>
    </xf>
    <xf numFmtId="0" fontId="11" fillId="0" borderId="0" xfId="13" applyFont="1"/>
    <xf numFmtId="165" fontId="0" fillId="0" borderId="1" xfId="0" applyNumberFormat="1" applyBorder="1"/>
    <xf numFmtId="165" fontId="0" fillId="0" borderId="11" xfId="0" applyNumberFormat="1" applyBorder="1"/>
    <xf numFmtId="165" fontId="0" fillId="0" borderId="10" xfId="0" applyNumberFormat="1" applyBorder="1"/>
    <xf numFmtId="165" fontId="0" fillId="0" borderId="9" xfId="0" applyNumberFormat="1" applyBorder="1"/>
    <xf numFmtId="0" fontId="0" fillId="0" borderId="15" xfId="0" applyBorder="1"/>
    <xf numFmtId="0" fontId="0" fillId="0" borderId="3" xfId="0" applyBorder="1"/>
    <xf numFmtId="0" fontId="0" fillId="0" borderId="8" xfId="0" applyBorder="1"/>
    <xf numFmtId="0" fontId="0" fillId="0" borderId="0" xfId="0" applyNumberFormat="1"/>
    <xf numFmtId="0" fontId="51" fillId="0" borderId="0" xfId="0" applyFont="1"/>
    <xf numFmtId="0" fontId="0" fillId="0" borderId="0" xfId="0" applyFill="1" applyBorder="1"/>
    <xf numFmtId="0" fontId="42" fillId="0" borderId="0" xfId="24" applyFill="1" applyBorder="1"/>
    <xf numFmtId="0" fontId="42" fillId="0" borderId="0" xfId="24" applyFill="1" applyBorder="1" applyAlignment="1">
      <alignment horizontal="center" vertical="center"/>
    </xf>
    <xf numFmtId="0" fontId="42" fillId="0" borderId="0" xfId="24" applyFill="1" applyBorder="1" applyAlignment="1">
      <alignment horizontal="center" vertical="center" wrapText="1"/>
    </xf>
    <xf numFmtId="0" fontId="0" fillId="0" borderId="0" xfId="0" applyNumberFormat="1" applyFill="1" applyBorder="1"/>
    <xf numFmtId="166" fontId="40" fillId="9" borderId="1" xfId="0" applyNumberFormat="1" applyFont="1" applyFill="1" applyBorder="1" applyAlignment="1">
      <alignment horizontal="left" vertical="center" wrapText="1" indent="2"/>
    </xf>
    <xf numFmtId="165" fontId="51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0" fontId="42" fillId="13" borderId="0" xfId="24"/>
    <xf numFmtId="3" fontId="22" fillId="0" borderId="21" xfId="0" applyNumberFormat="1" applyFont="1" applyBorder="1"/>
    <xf numFmtId="3" fontId="22" fillId="0" borderId="30" xfId="0" applyNumberFormat="1" applyFont="1" applyBorder="1"/>
    <xf numFmtId="0" fontId="22" fillId="0" borderId="22" xfId="0" applyFont="1" applyBorder="1"/>
    <xf numFmtId="167" fontId="52" fillId="0" borderId="0" xfId="30" applyNumberFormat="1" applyFont="1" applyFill="1"/>
    <xf numFmtId="3" fontId="24" fillId="0" borderId="16" xfId="0" applyNumberFormat="1" applyFont="1" applyFill="1" applyBorder="1" applyAlignment="1"/>
    <xf numFmtId="3" fontId="24" fillId="0" borderId="1" xfId="0" applyNumberFormat="1" applyFont="1" applyFill="1" applyBorder="1" applyAlignment="1"/>
    <xf numFmtId="9" fontId="24" fillId="0" borderId="1" xfId="1" applyFont="1" applyFill="1" applyBorder="1" applyAlignment="1"/>
    <xf numFmtId="3" fontId="24" fillId="0" borderId="9" xfId="0" applyNumberFormat="1" applyFont="1" applyFill="1" applyBorder="1" applyAlignment="1"/>
    <xf numFmtId="9" fontId="24" fillId="0" borderId="9" xfId="1" applyFont="1" applyFill="1" applyBorder="1" applyAlignment="1"/>
    <xf numFmtId="169" fontId="22" fillId="0" borderId="8" xfId="1" applyNumberFormat="1" applyFont="1" applyFill="1" applyBorder="1"/>
    <xf numFmtId="3" fontId="22" fillId="0" borderId="14" xfId="0" applyNumberFormat="1" applyFont="1" applyFill="1" applyBorder="1" applyAlignment="1"/>
    <xf numFmtId="9" fontId="22" fillId="0" borderId="12" xfId="1" applyFont="1" applyFill="1" applyBorder="1"/>
    <xf numFmtId="0" fontId="17" fillId="0" borderId="0" xfId="13" applyFill="1"/>
    <xf numFmtId="9" fontId="24" fillId="0" borderId="3" xfId="1" applyFont="1" applyFill="1" applyBorder="1" applyAlignment="1"/>
    <xf numFmtId="43" fontId="22" fillId="0" borderId="1" xfId="0" applyNumberFormat="1" applyFont="1" applyBorder="1" applyAlignment="1">
      <alignment horizontal="center"/>
    </xf>
    <xf numFmtId="166" fontId="22" fillId="0" borderId="1" xfId="0" quotePrefix="1" applyNumberFormat="1" applyFont="1" applyBorder="1" applyAlignment="1">
      <alignment horizontal="center"/>
    </xf>
    <xf numFmtId="0" fontId="22" fillId="2" borderId="0" xfId="0" quotePrefix="1" applyFont="1" applyFill="1" applyBorder="1" applyAlignment="1">
      <alignment horizontal="justify" vertical="top"/>
    </xf>
    <xf numFmtId="0" fontId="52" fillId="0" borderId="1" xfId="30" applyFont="1" applyFill="1" applyBorder="1" applyAlignment="1">
      <alignment horizontal="left" indent="2"/>
    </xf>
    <xf numFmtId="167" fontId="52" fillId="0" borderId="1" xfId="30" applyNumberFormat="1" applyFont="1" applyFill="1" applyBorder="1"/>
    <xf numFmtId="0" fontId="43" fillId="0" borderId="0" xfId="13" applyFont="1"/>
    <xf numFmtId="165" fontId="43" fillId="0" borderId="0" xfId="13" applyNumberFormat="1" applyFont="1"/>
    <xf numFmtId="0" fontId="41" fillId="0" borderId="53" xfId="0" applyFont="1" applyBorder="1"/>
    <xf numFmtId="0" fontId="27" fillId="14" borderId="53" xfId="0" applyFont="1" applyFill="1" applyBorder="1" applyAlignment="1">
      <alignment horizontal="center"/>
    </xf>
    <xf numFmtId="0" fontId="27" fillId="14" borderId="54" xfId="0" applyFont="1" applyFill="1" applyBorder="1" applyAlignment="1">
      <alignment horizontal="center"/>
    </xf>
    <xf numFmtId="0" fontId="43" fillId="10" borderId="53" xfId="0" applyFont="1" applyFill="1" applyBorder="1" applyAlignment="1">
      <alignment horizontal="left" indent="1"/>
    </xf>
    <xf numFmtId="0" fontId="0" fillId="14" borderId="53" xfId="0" applyFill="1" applyBorder="1" applyAlignment="1">
      <alignment horizontal="left" indent="2"/>
    </xf>
    <xf numFmtId="43" fontId="0" fillId="0" borderId="53" xfId="0" applyNumberFormat="1" applyBorder="1"/>
    <xf numFmtId="43" fontId="0" fillId="0" borderId="54" xfId="0" applyNumberFormat="1" applyBorder="1"/>
    <xf numFmtId="0" fontId="0" fillId="0" borderId="54" xfId="0" applyFill="1" applyBorder="1" applyAlignment="1">
      <alignment horizontal="left" indent="2"/>
    </xf>
    <xf numFmtId="43" fontId="0" fillId="0" borderId="55" xfId="0" applyNumberFormat="1" applyFill="1" applyBorder="1"/>
    <xf numFmtId="43" fontId="0" fillId="0" borderId="55" xfId="0" applyNumberFormat="1" applyBorder="1"/>
    <xf numFmtId="43" fontId="0" fillId="0" borderId="0" xfId="0" applyNumberFormat="1" applyBorder="1"/>
    <xf numFmtId="43" fontId="55" fillId="0" borderId="0" xfId="0" applyNumberFormat="1" applyFont="1" applyFill="1" applyBorder="1"/>
    <xf numFmtId="0" fontId="0" fillId="0" borderId="55" xfId="0" applyFill="1" applyBorder="1" applyAlignment="1">
      <alignment horizontal="left" indent="2"/>
    </xf>
    <xf numFmtId="0" fontId="56" fillId="0" borderId="0" xfId="0" applyFont="1" applyFill="1" applyBorder="1" applyAlignment="1">
      <alignment horizontal="right" indent="2"/>
    </xf>
    <xf numFmtId="0" fontId="0" fillId="0" borderId="0" xfId="0" applyBorder="1"/>
    <xf numFmtId="43" fontId="22" fillId="0" borderId="0" xfId="0" applyNumberFormat="1" applyFont="1"/>
    <xf numFmtId="0" fontId="23" fillId="0" borderId="58" xfId="0" applyFont="1" applyBorder="1" applyAlignment="1">
      <alignment horizontal="center"/>
    </xf>
    <xf numFmtId="0" fontId="59" fillId="0" borderId="0" xfId="13" applyFont="1" applyBorder="1" applyAlignment="1">
      <alignment horizontal="left" vertical="center" wrapText="1" indent="4"/>
    </xf>
    <xf numFmtId="167" fontId="17" fillId="0" borderId="0" xfId="29" applyNumberFormat="1" applyFont="1" applyAlignment="1">
      <alignment horizontal="center" vertical="center"/>
    </xf>
    <xf numFmtId="167" fontId="35" fillId="0" borderId="1" xfId="29" applyNumberFormat="1" applyFont="1" applyBorder="1" applyAlignment="1">
      <alignment vertical="center"/>
    </xf>
    <xf numFmtId="167" fontId="24" fillId="0" borderId="1" xfId="29" applyNumberFormat="1" applyFont="1" applyFill="1" applyBorder="1" applyAlignment="1">
      <alignment vertical="center"/>
    </xf>
    <xf numFmtId="167" fontId="37" fillId="0" borderId="1" xfId="29" applyNumberFormat="1" applyFont="1" applyFill="1" applyBorder="1" applyAlignment="1">
      <alignment horizontal="left" vertical="center" indent="2"/>
    </xf>
    <xf numFmtId="167" fontId="24" fillId="0" borderId="0" xfId="29" applyNumberFormat="1" applyFont="1" applyBorder="1" applyAlignment="1">
      <alignment horizontal="left" vertical="center" wrapText="1" indent="4"/>
    </xf>
    <xf numFmtId="167" fontId="24" fillId="0" borderId="29" xfId="29" applyNumberFormat="1" applyFont="1" applyFill="1" applyBorder="1" applyAlignment="1">
      <alignment vertical="center"/>
    </xf>
    <xf numFmtId="167" fontId="24" fillId="0" borderId="0" xfId="29" applyNumberFormat="1" applyFont="1" applyFill="1" applyBorder="1" applyAlignment="1">
      <alignment vertical="center"/>
    </xf>
    <xf numFmtId="167" fontId="17" fillId="0" borderId="0" xfId="29" applyNumberFormat="1" applyFont="1"/>
    <xf numFmtId="167" fontId="22" fillId="0" borderId="13" xfId="29" applyNumberFormat="1" applyFont="1" applyBorder="1" applyAlignment="1">
      <alignment vertical="center"/>
    </xf>
    <xf numFmtId="167" fontId="22" fillId="0" borderId="14" xfId="29" applyNumberFormat="1" applyFont="1" applyBorder="1" applyAlignment="1">
      <alignment vertical="center"/>
    </xf>
    <xf numFmtId="167" fontId="32" fillId="0" borderId="29" xfId="29" applyNumberFormat="1" applyFont="1" applyFill="1" applyBorder="1" applyAlignment="1">
      <alignment vertical="center"/>
    </xf>
    <xf numFmtId="167" fontId="32" fillId="0" borderId="1" xfId="29" applyNumberFormat="1" applyFont="1" applyFill="1" applyBorder="1" applyAlignment="1">
      <alignment vertical="center"/>
    </xf>
    <xf numFmtId="167" fontId="36" fillId="0" borderId="1" xfId="29" applyNumberFormat="1" applyFont="1" applyBorder="1" applyAlignment="1">
      <alignment vertical="center"/>
    </xf>
    <xf numFmtId="167" fontId="22" fillId="0" borderId="1" xfId="29" applyNumberFormat="1" applyFont="1" applyBorder="1" applyAlignment="1">
      <alignment vertical="center"/>
    </xf>
    <xf numFmtId="167" fontId="22" fillId="0" borderId="1" xfId="29" applyNumberFormat="1" applyFont="1" applyFill="1" applyBorder="1" applyAlignment="1">
      <alignment vertical="center"/>
    </xf>
    <xf numFmtId="167" fontId="34" fillId="6" borderId="1" xfId="29" applyNumberFormat="1" applyFont="1" applyFill="1" applyBorder="1" applyAlignment="1">
      <alignment horizontal="left" vertical="center" wrapText="1" indent="2"/>
    </xf>
    <xf numFmtId="167" fontId="23" fillId="0" borderId="1" xfId="29" applyNumberFormat="1" applyFont="1" applyBorder="1" applyAlignment="1">
      <alignment vertical="center"/>
    </xf>
    <xf numFmtId="167" fontId="23" fillId="0" borderId="1" xfId="29" applyNumberFormat="1" applyFont="1" applyFill="1" applyBorder="1" applyAlignment="1">
      <alignment vertical="center"/>
    </xf>
    <xf numFmtId="167" fontId="22" fillId="9" borderId="0" xfId="29" applyNumberFormat="1" applyFont="1" applyFill="1" applyBorder="1" applyAlignment="1">
      <alignment horizontal="center" vertical="center"/>
    </xf>
    <xf numFmtId="167" fontId="22" fillId="0" borderId="0" xfId="29" applyNumberFormat="1" applyFont="1" applyFill="1" applyBorder="1" applyAlignment="1">
      <alignment horizontal="center"/>
    </xf>
    <xf numFmtId="167" fontId="22" fillId="0" borderId="0" xfId="29" applyNumberFormat="1" applyFont="1" applyBorder="1" applyAlignment="1">
      <alignment vertical="center"/>
    </xf>
    <xf numFmtId="167" fontId="23" fillId="0" borderId="12" xfId="29" applyNumberFormat="1" applyFont="1" applyFill="1" applyBorder="1" applyAlignment="1">
      <alignment horizontal="center" vertical="center"/>
    </xf>
    <xf numFmtId="167" fontId="23" fillId="0" borderId="0" xfId="29" applyNumberFormat="1" applyFont="1" applyFill="1" applyBorder="1" applyAlignment="1">
      <alignment horizontal="center" vertical="center"/>
    </xf>
    <xf numFmtId="167" fontId="22" fillId="0" borderId="0" xfId="29" applyNumberFormat="1" applyFont="1" applyFill="1" applyBorder="1" applyAlignment="1">
      <alignment vertical="center"/>
    </xf>
    <xf numFmtId="167" fontId="38" fillId="0" borderId="0" xfId="29" applyNumberFormat="1" applyFont="1" applyAlignment="1">
      <alignment horizontal="center" vertical="center"/>
    </xf>
    <xf numFmtId="167" fontId="38" fillId="0" borderId="0" xfId="29" applyNumberFormat="1" applyFont="1"/>
    <xf numFmtId="167" fontId="38" fillId="0" borderId="0" xfId="29" applyNumberFormat="1" applyFont="1" applyAlignment="1">
      <alignment vertical="top" wrapText="1"/>
    </xf>
    <xf numFmtId="165" fontId="23" fillId="2" borderId="0" xfId="0" applyNumberFormat="1" applyFont="1" applyFill="1" applyBorder="1" applyAlignment="1">
      <alignment horizontal="center" vertical="center"/>
    </xf>
    <xf numFmtId="167" fontId="23" fillId="2" borderId="0" xfId="29" applyNumberFormat="1" applyFont="1" applyFill="1" applyBorder="1" applyAlignment="1">
      <alignment horizontal="center" vertical="center"/>
    </xf>
    <xf numFmtId="0" fontId="27" fillId="0" borderId="0" xfId="13" applyFont="1"/>
    <xf numFmtId="0" fontId="60" fillId="0" borderId="0" xfId="0" applyFont="1"/>
    <xf numFmtId="0" fontId="59" fillId="0" borderId="1" xfId="13" applyFont="1" applyBorder="1" applyAlignment="1">
      <alignment horizontal="left" vertical="center" wrapText="1" indent="4"/>
    </xf>
    <xf numFmtId="167" fontId="59" fillId="0" borderId="1" xfId="29" applyNumberFormat="1" applyFont="1" applyFill="1" applyBorder="1" applyAlignment="1">
      <alignment vertical="center"/>
    </xf>
    <xf numFmtId="0" fontId="27" fillId="0" borderId="0" xfId="13" applyFont="1" applyFill="1"/>
    <xf numFmtId="0" fontId="34" fillId="0" borderId="1" xfId="13" applyFont="1" applyFill="1" applyBorder="1" applyAlignment="1">
      <alignment horizontal="left" vertical="center" wrapText="1" indent="2"/>
    </xf>
    <xf numFmtId="0" fontId="22" fillId="0" borderId="0" xfId="0" applyFont="1" applyBorder="1" applyAlignment="1">
      <alignment wrapText="1"/>
    </xf>
    <xf numFmtId="0" fontId="34" fillId="0" borderId="1" xfId="25" applyFont="1" applyFill="1" applyBorder="1" applyAlignment="1">
      <alignment horizontal="left" vertical="center" wrapText="1" indent="4"/>
    </xf>
    <xf numFmtId="167" fontId="61" fillId="0" borderId="1" xfId="29" applyNumberFormat="1" applyFont="1" applyFill="1" applyBorder="1" applyAlignment="1">
      <alignment horizontal="left" vertical="center" indent="2"/>
    </xf>
    <xf numFmtId="167" fontId="59" fillId="0" borderId="29" xfId="29" applyNumberFormat="1" applyFont="1" applyFill="1" applyBorder="1" applyAlignment="1">
      <alignment vertical="center"/>
    </xf>
    <xf numFmtId="43" fontId="59" fillId="0" borderId="0" xfId="13" applyNumberFormat="1" applyFont="1" applyBorder="1" applyAlignment="1">
      <alignment horizontal="left" vertical="center" wrapText="1" indent="4"/>
    </xf>
    <xf numFmtId="43" fontId="27" fillId="0" borderId="0" xfId="13" applyNumberFormat="1" applyFont="1"/>
    <xf numFmtId="0" fontId="54" fillId="17" borderId="0" xfId="38" applyFont="1" applyFill="1" applyAlignment="1">
      <alignment horizontal="left" vertical="center" indent="1"/>
    </xf>
    <xf numFmtId="0" fontId="7" fillId="17" borderId="0" xfId="38" applyFill="1"/>
    <xf numFmtId="0" fontId="7" fillId="0" borderId="0" xfId="38"/>
    <xf numFmtId="0" fontId="27" fillId="18" borderId="49" xfId="38" applyFont="1" applyFill="1" applyBorder="1"/>
    <xf numFmtId="0" fontId="27" fillId="0" borderId="0" xfId="38" applyFont="1" applyAlignment="1">
      <alignment horizontal="left"/>
    </xf>
    <xf numFmtId="41" fontId="7" fillId="0" borderId="0" xfId="38" applyNumberFormat="1" applyFill="1"/>
    <xf numFmtId="41" fontId="27" fillId="0" borderId="0" xfId="38" applyNumberFormat="1" applyFont="1" applyFill="1"/>
    <xf numFmtId="41" fontId="7" fillId="0" borderId="0" xfId="38" applyNumberFormat="1"/>
    <xf numFmtId="43" fontId="7" fillId="0" borderId="0" xfId="39" applyFont="1"/>
    <xf numFmtId="43" fontId="7" fillId="0" borderId="0" xfId="38" quotePrefix="1" applyNumberFormat="1"/>
    <xf numFmtId="0" fontId="7" fillId="0" borderId="0" xfId="38" quotePrefix="1"/>
    <xf numFmtId="43" fontId="7" fillId="0" borderId="0" xfId="38" applyNumberFormat="1"/>
    <xf numFmtId="170" fontId="0" fillId="0" borderId="0" xfId="40" applyNumberFormat="1" applyFont="1"/>
    <xf numFmtId="0" fontId="47" fillId="0" borderId="0" xfId="38" applyFont="1"/>
    <xf numFmtId="0" fontId="7" fillId="0" borderId="0" xfId="38" applyFont="1" applyAlignment="1">
      <alignment wrapText="1"/>
    </xf>
    <xf numFmtId="0" fontId="59" fillId="0" borderId="1" xfId="25" applyFont="1" applyFill="1" applyBorder="1" applyAlignment="1">
      <alignment horizontal="left" vertical="center" wrapText="1" indent="4"/>
    </xf>
    <xf numFmtId="0" fontId="27" fillId="0" borderId="0" xfId="13" applyFont="1" applyFill="1" applyAlignment="1"/>
    <xf numFmtId="0" fontId="59" fillId="0" borderId="1" xfId="13" applyFont="1" applyFill="1" applyBorder="1" applyAlignment="1">
      <alignment horizontal="left" vertical="center" wrapText="1" indent="4"/>
    </xf>
    <xf numFmtId="0" fontId="23" fillId="0" borderId="1" xfId="0" applyFont="1" applyBorder="1"/>
    <xf numFmtId="0" fontId="22" fillId="0" borderId="1" xfId="0" applyFont="1" applyBorder="1" applyAlignment="1">
      <alignment wrapText="1"/>
    </xf>
    <xf numFmtId="165" fontId="23" fillId="2" borderId="1" xfId="0" applyNumberFormat="1" applyFont="1" applyFill="1" applyBorder="1" applyAlignment="1">
      <alignment horizontal="center" vertical="top" wrapText="1"/>
    </xf>
    <xf numFmtId="165" fontId="22" fillId="2" borderId="1" xfId="0" applyNumberFormat="1" applyFont="1" applyFill="1" applyBorder="1" applyAlignment="1">
      <alignment horizontal="center" vertical="top" wrapText="1"/>
    </xf>
    <xf numFmtId="165" fontId="22" fillId="11" borderId="1" xfId="0" applyNumberFormat="1" applyFont="1" applyFill="1" applyBorder="1" applyAlignment="1">
      <alignment horizontal="center" vertical="top" wrapText="1"/>
    </xf>
    <xf numFmtId="165" fontId="22" fillId="2" borderId="1" xfId="0" applyNumberFormat="1" applyFont="1" applyFill="1" applyBorder="1" applyAlignment="1">
      <alignment horizontal="justify" vertical="top"/>
    </xf>
    <xf numFmtId="3" fontId="23" fillId="0" borderId="1" xfId="0" applyNumberFormat="1" applyFont="1" applyFill="1" applyBorder="1"/>
    <xf numFmtId="0" fontId="23" fillId="0" borderId="0" xfId="0" applyFont="1"/>
    <xf numFmtId="0" fontId="57" fillId="0" borderId="0" xfId="13" applyFont="1"/>
    <xf numFmtId="0" fontId="58" fillId="0" borderId="0" xfId="13" applyFont="1"/>
    <xf numFmtId="0" fontId="58" fillId="0" borderId="1" xfId="0" applyFont="1" applyFill="1" applyBorder="1" applyAlignment="1">
      <alignment vertical="top"/>
    </xf>
    <xf numFmtId="0" fontId="57" fillId="0" borderId="1" xfId="0" applyFont="1" applyFill="1" applyBorder="1" applyAlignment="1"/>
    <xf numFmtId="0" fontId="58" fillId="0" borderId="0" xfId="13" applyFont="1" applyFill="1"/>
    <xf numFmtId="0" fontId="57" fillId="0" borderId="0" xfId="13" applyFont="1" applyFill="1"/>
    <xf numFmtId="172" fontId="38" fillId="0" borderId="0" xfId="1" applyNumberFormat="1" applyFont="1" applyAlignment="1">
      <alignment vertical="top" wrapText="1"/>
    </xf>
    <xf numFmtId="173" fontId="38" fillId="0" borderId="0" xfId="29" applyNumberFormat="1" applyFont="1" applyAlignment="1">
      <alignment vertical="top" wrapText="1"/>
    </xf>
    <xf numFmtId="10" fontId="22" fillId="0" borderId="0" xfId="0" applyNumberFormat="1" applyFont="1"/>
    <xf numFmtId="9" fontId="22" fillId="0" borderId="0" xfId="0" applyNumberFormat="1" applyFont="1"/>
    <xf numFmtId="9" fontId="22" fillId="0" borderId="0" xfId="1" applyFont="1" applyBorder="1"/>
    <xf numFmtId="9" fontId="22" fillId="0" borderId="0" xfId="1" applyFont="1" applyFill="1" applyBorder="1"/>
    <xf numFmtId="167" fontId="22" fillId="0" borderId="0" xfId="29" applyNumberFormat="1" applyFont="1" applyBorder="1" applyAlignment="1">
      <alignment horizontal="center"/>
    </xf>
    <xf numFmtId="0" fontId="40" fillId="0" borderId="0" xfId="0" applyFont="1" applyBorder="1"/>
    <xf numFmtId="0" fontId="5" fillId="0" borderId="0" xfId="38" applyFont="1"/>
    <xf numFmtId="167" fontId="4" fillId="0" borderId="0" xfId="29" applyNumberFormat="1" applyFont="1"/>
    <xf numFmtId="166" fontId="63" fillId="8" borderId="9" xfId="0" applyNumberFormat="1" applyFont="1" applyFill="1" applyBorder="1" applyAlignment="1">
      <alignment horizontal="center" vertical="center" wrapText="1"/>
    </xf>
    <xf numFmtId="167" fontId="53" fillId="0" borderId="1" xfId="30" applyNumberFormat="1" applyFont="1" applyFill="1" applyBorder="1"/>
    <xf numFmtId="0" fontId="54" fillId="19" borderId="0" xfId="38" applyFont="1" applyFill="1" applyAlignment="1">
      <alignment horizontal="left" vertical="center" indent="1"/>
    </xf>
    <xf numFmtId="0" fontId="7" fillId="19" borderId="0" xfId="38" applyFill="1"/>
    <xf numFmtId="0" fontId="6" fillId="19" borderId="0" xfId="38" applyFont="1" applyFill="1"/>
    <xf numFmtId="0" fontId="0" fillId="0" borderId="0" xfId="0" applyFill="1"/>
    <xf numFmtId="3" fontId="22" fillId="0" borderId="0" xfId="0" applyNumberFormat="1" applyFont="1" applyFill="1" applyAlignment="1"/>
    <xf numFmtId="41" fontId="64" fillId="15" borderId="40" xfId="0" applyNumberFormat="1" applyFont="1" applyFill="1" applyBorder="1"/>
    <xf numFmtId="41" fontId="64" fillId="15" borderId="41" xfId="0" applyNumberFormat="1" applyFont="1" applyFill="1" applyBorder="1"/>
    <xf numFmtId="41" fontId="64" fillId="10" borderId="39" xfId="0" applyNumberFormat="1" applyFont="1" applyFill="1" applyBorder="1"/>
    <xf numFmtId="0" fontId="64" fillId="14" borderId="24" xfId="0" applyFont="1" applyFill="1" applyBorder="1" applyAlignment="1">
      <alignment horizontal="left" indent="2"/>
    </xf>
    <xf numFmtId="0" fontId="64" fillId="14" borderId="45" xfId="0" applyFont="1" applyFill="1" applyBorder="1" applyAlignment="1">
      <alignment horizontal="left" indent="2"/>
    </xf>
    <xf numFmtId="175" fontId="64" fillId="15" borderId="40" xfId="0" applyNumberFormat="1" applyFont="1" applyFill="1" applyBorder="1"/>
    <xf numFmtId="175" fontId="64" fillId="15" borderId="41" xfId="0" applyNumberFormat="1" applyFont="1" applyFill="1" applyBorder="1"/>
    <xf numFmtId="175" fontId="64" fillId="10" borderId="39" xfId="0" applyNumberFormat="1" applyFont="1" applyFill="1" applyBorder="1"/>
    <xf numFmtId="175" fontId="27" fillId="15" borderId="45" xfId="0" applyNumberFormat="1" applyFont="1" applyFill="1" applyBorder="1"/>
    <xf numFmtId="43" fontId="37" fillId="0" borderId="1" xfId="29" applyNumberFormat="1" applyFont="1" applyFill="1" applyBorder="1" applyAlignment="1">
      <alignment horizontal="left" vertical="center" indent="2"/>
    </xf>
    <xf numFmtId="3" fontId="22" fillId="0" borderId="1" xfId="0" applyNumberFormat="1" applyFont="1" applyFill="1" applyBorder="1"/>
    <xf numFmtId="170" fontId="22" fillId="0" borderId="0" xfId="1" applyNumberFormat="1" applyFont="1" applyBorder="1" applyAlignment="1">
      <alignment horizontal="center"/>
    </xf>
    <xf numFmtId="0" fontId="45" fillId="0" borderId="0" xfId="0" applyFont="1"/>
    <xf numFmtId="0" fontId="43" fillId="16" borderId="19" xfId="0" applyFont="1" applyFill="1" applyBorder="1"/>
    <xf numFmtId="41" fontId="27" fillId="14" borderId="23" xfId="0" applyNumberFormat="1" applyFont="1" applyFill="1" applyBorder="1"/>
    <xf numFmtId="41" fontId="27" fillId="15" borderId="19" xfId="0" applyNumberFormat="1" applyFont="1" applyFill="1" applyBorder="1"/>
    <xf numFmtId="41" fontId="43" fillId="10" borderId="23" xfId="0" applyNumberFormat="1" applyFont="1" applyFill="1" applyBorder="1"/>
    <xf numFmtId="0" fontId="27" fillId="14" borderId="24" xfId="0" applyFont="1" applyFill="1" applyBorder="1" applyAlignment="1">
      <alignment horizontal="left" indent="2"/>
    </xf>
    <xf numFmtId="0" fontId="27" fillId="14" borderId="45" xfId="0" applyFont="1" applyFill="1" applyBorder="1" applyAlignment="1">
      <alignment horizontal="left" indent="2"/>
    </xf>
    <xf numFmtId="0" fontId="43" fillId="10" borderId="50" xfId="0" applyFont="1" applyFill="1" applyBorder="1" applyAlignment="1">
      <alignment horizontal="left" indent="1"/>
    </xf>
    <xf numFmtId="41" fontId="27" fillId="14" borderId="6" xfId="0" applyNumberFormat="1" applyFont="1" applyFill="1" applyBorder="1"/>
    <xf numFmtId="41" fontId="27" fillId="14" borderId="51" xfId="0" applyNumberFormat="1" applyFont="1" applyFill="1" applyBorder="1"/>
    <xf numFmtId="41" fontId="27" fillId="15" borderId="50" xfId="0" applyNumberFormat="1" applyFont="1" applyFill="1" applyBorder="1"/>
    <xf numFmtId="0" fontId="27" fillId="20" borderId="35" xfId="0" applyFont="1" applyFill="1" applyBorder="1" applyAlignment="1">
      <alignment horizontal="center"/>
    </xf>
    <xf numFmtId="0" fontId="46" fillId="20" borderId="36" xfId="0" applyFont="1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43" fontId="27" fillId="20" borderId="40" xfId="0" applyNumberFormat="1" applyFont="1" applyFill="1" applyBorder="1"/>
    <xf numFmtId="43" fontId="27" fillId="20" borderId="41" xfId="0" applyNumberFormat="1" applyFont="1" applyFill="1" applyBorder="1"/>
    <xf numFmtId="43" fontId="27" fillId="21" borderId="39" xfId="0" applyNumberFormat="1" applyFont="1" applyFill="1" applyBorder="1"/>
    <xf numFmtId="43" fontId="64" fillId="15" borderId="40" xfId="0" applyNumberFormat="1" applyFont="1" applyFill="1" applyBorder="1"/>
    <xf numFmtId="43" fontId="64" fillId="15" borderId="41" xfId="0" applyNumberFormat="1" applyFont="1" applyFill="1" applyBorder="1"/>
    <xf numFmtId="43" fontId="64" fillId="10" borderId="39" xfId="0" applyNumberFormat="1" applyFont="1" applyFill="1" applyBorder="1"/>
    <xf numFmtId="43" fontId="0" fillId="22" borderId="43" xfId="0" applyNumberFormat="1" applyFill="1" applyBorder="1"/>
    <xf numFmtId="43" fontId="0" fillId="22" borderId="44" xfId="0" applyNumberFormat="1" applyFill="1" applyBorder="1"/>
    <xf numFmtId="43" fontId="27" fillId="20" borderId="42" xfId="0" applyNumberFormat="1" applyFont="1" applyFill="1" applyBorder="1"/>
    <xf numFmtId="43" fontId="0" fillId="22" borderId="11" xfId="0" applyNumberFormat="1" applyFill="1" applyBorder="1"/>
    <xf numFmtId="43" fontId="0" fillId="22" borderId="3" xfId="0" applyNumberFormat="1" applyFill="1" applyBorder="1"/>
    <xf numFmtId="43" fontId="48" fillId="20" borderId="42" xfId="0" applyNumberFormat="1" applyFont="1" applyFill="1" applyBorder="1"/>
    <xf numFmtId="0" fontId="3" fillId="0" borderId="0" xfId="38" applyFont="1"/>
    <xf numFmtId="10" fontId="35" fillId="0" borderId="0" xfId="1" applyNumberFormat="1" applyFont="1" applyFill="1" applyBorder="1" applyAlignment="1">
      <alignment vertical="center"/>
    </xf>
    <xf numFmtId="167" fontId="17" fillId="0" borderId="0" xfId="13" applyNumberFormat="1"/>
    <xf numFmtId="167" fontId="0" fillId="0" borderId="0" xfId="0" applyNumberFormat="1"/>
    <xf numFmtId="168" fontId="0" fillId="0" borderId="0" xfId="0" applyNumberFormat="1" applyFont="1" applyBorder="1"/>
    <xf numFmtId="176" fontId="0" fillId="0" borderId="0" xfId="0" applyNumberFormat="1" applyAlignment="1">
      <alignment horizontal="center"/>
    </xf>
    <xf numFmtId="43" fontId="22" fillId="0" borderId="0" xfId="0" applyNumberFormat="1" applyFont="1" applyBorder="1"/>
    <xf numFmtId="177" fontId="22" fillId="0" borderId="29" xfId="13" applyNumberFormat="1" applyFont="1" applyFill="1" applyBorder="1" applyAlignment="1">
      <alignment horizontal="center" vertical="center"/>
    </xf>
    <xf numFmtId="177" fontId="22" fillId="0" borderId="1" xfId="13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3" fontId="22" fillId="0" borderId="1" xfId="0" quotePrefix="1" applyNumberFormat="1" applyFont="1" applyFill="1" applyBorder="1"/>
    <xf numFmtId="168" fontId="24" fillId="12" borderId="11" xfId="0" applyNumberFormat="1" applyFont="1" applyFill="1" applyBorder="1" applyAlignment="1">
      <alignment horizontal="left" vertical="center" wrapText="1" indent="2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justify" vertical="top"/>
    </xf>
    <xf numFmtId="10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/>
    <xf numFmtId="10" fontId="2" fillId="0" borderId="0" xfId="1" applyNumberFormat="1" applyFont="1" applyFill="1" applyBorder="1" applyAlignment="1">
      <alignment horizontal="center"/>
    </xf>
    <xf numFmtId="0" fontId="68" fillId="0" borderId="0" xfId="42" applyFont="1" applyFill="1" applyBorder="1"/>
    <xf numFmtId="9" fontId="2" fillId="0" borderId="0" xfId="0" applyNumberFormat="1" applyFont="1"/>
    <xf numFmtId="3" fontId="22" fillId="0" borderId="0" xfId="0" applyNumberFormat="1" applyFont="1" applyBorder="1"/>
    <xf numFmtId="43" fontId="22" fillId="0" borderId="0" xfId="29" applyFont="1"/>
    <xf numFmtId="177" fontId="22" fillId="0" borderId="0" xfId="13" applyNumberFormat="1" applyFont="1" applyBorder="1" applyAlignment="1">
      <alignment horizontal="center" vertical="center"/>
    </xf>
    <xf numFmtId="177" fontId="23" fillId="0" borderId="0" xfId="13" applyNumberFormat="1" applyFont="1" applyFill="1" applyBorder="1" applyAlignment="1">
      <alignment vertical="center"/>
    </xf>
    <xf numFmtId="181" fontId="53" fillId="0" borderId="0" xfId="30" applyNumberFormat="1" applyFont="1" applyFill="1" applyBorder="1"/>
    <xf numFmtId="182" fontId="52" fillId="0" borderId="0" xfId="30" applyNumberFormat="1" applyFont="1" applyFill="1" applyBorder="1"/>
    <xf numFmtId="182" fontId="53" fillId="0" borderId="0" xfId="30" applyNumberFormat="1" applyFont="1" applyFill="1" applyBorder="1"/>
    <xf numFmtId="180" fontId="52" fillId="0" borderId="0" xfId="30" applyNumberFormat="1" applyFont="1" applyFill="1"/>
    <xf numFmtId="10" fontId="22" fillId="0" borderId="15" xfId="1" applyNumberFormat="1" applyFont="1" applyFill="1" applyBorder="1"/>
    <xf numFmtId="0" fontId="24" fillId="0" borderId="15" xfId="13" applyFont="1" applyFill="1" applyBorder="1" applyAlignment="1">
      <alignment horizontal="left" vertical="center" wrapText="1" indent="4"/>
    </xf>
    <xf numFmtId="0" fontId="24" fillId="0" borderId="3" xfId="13" applyFont="1" applyFill="1" applyBorder="1" applyAlignment="1">
      <alignment horizontal="left" vertical="center" wrapText="1" indent="4"/>
    </xf>
    <xf numFmtId="178" fontId="66" fillId="23" borderId="0" xfId="0" applyNumberFormat="1" applyFont="1" applyFill="1" applyAlignment="1">
      <alignment horizontal="center"/>
    </xf>
    <xf numFmtId="168" fontId="24" fillId="0" borderId="11" xfId="0" applyNumberFormat="1" applyFont="1" applyFill="1" applyBorder="1" applyAlignment="1">
      <alignment horizontal="left" vertical="center" wrapText="1" indent="2"/>
    </xf>
    <xf numFmtId="181" fontId="17" fillId="0" borderId="0" xfId="29" applyNumberFormat="1" applyFont="1" applyFill="1"/>
    <xf numFmtId="167" fontId="17" fillId="0" borderId="0" xfId="29" applyNumberFormat="1" applyFont="1" applyFill="1"/>
    <xf numFmtId="0" fontId="59" fillId="0" borderId="0" xfId="13" applyFont="1" applyFill="1" applyBorder="1" applyAlignment="1">
      <alignment horizontal="left" vertical="center" wrapText="1" indent="4"/>
    </xf>
    <xf numFmtId="0" fontId="24" fillId="0" borderId="0" xfId="13" applyFont="1" applyFill="1" applyBorder="1" applyAlignment="1">
      <alignment horizontal="left" vertical="center" wrapText="1" indent="4"/>
    </xf>
    <xf numFmtId="43" fontId="24" fillId="0" borderId="0" xfId="13" applyNumberFormat="1" applyFont="1" applyFill="1" applyBorder="1" applyAlignment="1">
      <alignment horizontal="left" vertical="center" wrapText="1" indent="4"/>
    </xf>
    <xf numFmtId="177" fontId="23" fillId="0" borderId="14" xfId="13" applyNumberFormat="1" applyFont="1" applyFill="1" applyBorder="1" applyAlignment="1">
      <alignment vertical="center"/>
    </xf>
    <xf numFmtId="177" fontId="23" fillId="0" borderId="1" xfId="13" applyNumberFormat="1" applyFont="1" applyFill="1" applyBorder="1" applyAlignment="1">
      <alignment vertical="center"/>
    </xf>
    <xf numFmtId="167" fontId="37" fillId="23" borderId="1" xfId="29" applyNumberFormat="1" applyFont="1" applyFill="1" applyBorder="1" applyAlignment="1">
      <alignment horizontal="left" vertical="center" indent="2"/>
    </xf>
    <xf numFmtId="167" fontId="23" fillId="23" borderId="12" xfId="29" applyNumberFormat="1" applyFont="1" applyFill="1" applyBorder="1" applyAlignment="1">
      <alignment horizontal="center" vertical="center"/>
    </xf>
    <xf numFmtId="167" fontId="32" fillId="23" borderId="29" xfId="29" applyNumberFormat="1" applyFont="1" applyFill="1" applyBorder="1" applyAlignment="1">
      <alignment vertical="center"/>
    </xf>
    <xf numFmtId="167" fontId="22" fillId="23" borderId="1" xfId="29" applyNumberFormat="1" applyFont="1" applyFill="1" applyBorder="1" applyAlignment="1">
      <alignment vertical="center"/>
    </xf>
    <xf numFmtId="167" fontId="59" fillId="23" borderId="1" xfId="29" applyNumberFormat="1" applyFont="1" applyFill="1" applyBorder="1" applyAlignment="1">
      <alignment vertical="center"/>
    </xf>
    <xf numFmtId="3" fontId="59" fillId="23" borderId="1" xfId="29" applyNumberFormat="1" applyFont="1" applyFill="1" applyBorder="1" applyAlignment="1">
      <alignment vertical="center"/>
    </xf>
    <xf numFmtId="164" fontId="59" fillId="23" borderId="1" xfId="29" applyNumberFormat="1" applyFont="1" applyFill="1" applyBorder="1" applyAlignment="1">
      <alignment vertical="center"/>
    </xf>
    <xf numFmtId="174" fontId="22" fillId="0" borderId="0" xfId="0" applyNumberFormat="1" applyFont="1" applyFill="1" applyAlignment="1">
      <alignment horizontal="center"/>
    </xf>
    <xf numFmtId="9" fontId="42" fillId="0" borderId="0" xfId="1" applyFont="1" applyFill="1" applyBorder="1"/>
    <xf numFmtId="0" fontId="42" fillId="23" borderId="0" xfId="24" applyFill="1" applyBorder="1"/>
    <xf numFmtId="0" fontId="52" fillId="0" borderId="0" xfId="22" applyFont="1" applyFill="1" applyBorder="1"/>
    <xf numFmtId="0" fontId="52" fillId="0" borderId="0" xfId="22" applyFont="1" applyFill="1"/>
    <xf numFmtId="0" fontId="23" fillId="0" borderId="1" xfId="0" applyFont="1" applyFill="1" applyBorder="1"/>
    <xf numFmtId="1" fontId="23" fillId="0" borderId="1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2" fillId="0" borderId="1" xfId="0" applyFont="1" applyFill="1" applyBorder="1"/>
    <xf numFmtId="167" fontId="23" fillId="0" borderId="1" xfId="29" applyNumberFormat="1" applyFont="1" applyFill="1" applyBorder="1"/>
    <xf numFmtId="167" fontId="22" fillId="0" borderId="0" xfId="29" applyNumberFormat="1" applyFont="1" applyFill="1" applyBorder="1"/>
    <xf numFmtId="167" fontId="23" fillId="0" borderId="0" xfId="29" applyNumberFormat="1" applyFont="1" applyFill="1" applyBorder="1"/>
    <xf numFmtId="0" fontId="53" fillId="0" borderId="1" xfId="30" applyFont="1" applyFill="1" applyBorder="1" applyAlignment="1">
      <alignment horizontal="left"/>
    </xf>
    <xf numFmtId="0" fontId="52" fillId="0" borderId="1" xfId="30" applyFont="1" applyFill="1" applyBorder="1" applyAlignment="1">
      <alignment horizontal="left" indent="1"/>
    </xf>
    <xf numFmtId="180" fontId="22" fillId="0" borderId="0" xfId="29" applyNumberFormat="1" applyFont="1" applyFill="1" applyBorder="1"/>
    <xf numFmtId="181" fontId="22" fillId="0" borderId="0" xfId="0" applyNumberFormat="1" applyFont="1" applyFill="1" applyBorder="1"/>
    <xf numFmtId="43" fontId="22" fillId="0" borderId="0" xfId="0" applyNumberFormat="1" applyFont="1" applyFill="1" applyBorder="1"/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/>
    <xf numFmtId="181" fontId="70" fillId="0" borderId="0" xfId="30" applyNumberFormat="1" applyFont="1" applyFill="1"/>
    <xf numFmtId="0" fontId="52" fillId="0" borderId="1" xfId="30" applyFont="1" applyFill="1" applyBorder="1" applyAlignment="1">
      <alignment horizontal="left"/>
    </xf>
    <xf numFmtId="43" fontId="52" fillId="0" borderId="0" xfId="29" applyFont="1" applyFill="1"/>
    <xf numFmtId="180" fontId="23" fillId="0" borderId="0" xfId="29" applyNumberFormat="1" applyFont="1" applyFill="1" applyBorder="1"/>
    <xf numFmtId="167" fontId="52" fillId="0" borderId="0" xfId="30" applyNumberFormat="1" applyFont="1" applyFill="1" applyBorder="1"/>
    <xf numFmtId="167" fontId="53" fillId="0" borderId="0" xfId="30" applyNumberFormat="1" applyFont="1" applyFill="1" applyBorder="1"/>
    <xf numFmtId="0" fontId="57" fillId="0" borderId="0" xfId="22" applyFont="1" applyFill="1"/>
    <xf numFmtId="167" fontId="52" fillId="0" borderId="0" xfId="22" applyNumberFormat="1" applyFont="1" applyFill="1"/>
    <xf numFmtId="167" fontId="22" fillId="0" borderId="0" xfId="0" applyNumberFormat="1" applyFont="1" applyFill="1"/>
    <xf numFmtId="0" fontId="23" fillId="0" borderId="0" xfId="0" applyFont="1" applyFill="1"/>
    <xf numFmtId="167" fontId="23" fillId="0" borderId="0" xfId="0" applyNumberFormat="1" applyFont="1" applyFill="1" applyBorder="1" applyAlignment="1">
      <alignment horizontal="left" indent="1"/>
    </xf>
    <xf numFmtId="167" fontId="23" fillId="0" borderId="0" xfId="0" applyNumberFormat="1" applyFont="1" applyFill="1"/>
    <xf numFmtId="167" fontId="22" fillId="0" borderId="0" xfId="0" applyNumberFormat="1" applyFont="1" applyFill="1" applyBorder="1" applyAlignment="1">
      <alignment horizontal="left" indent="1"/>
    </xf>
    <xf numFmtId="0" fontId="69" fillId="0" borderId="1" xfId="30" applyFont="1" applyFill="1" applyBorder="1" applyAlignment="1">
      <alignment horizontal="left" indent="1"/>
    </xf>
    <xf numFmtId="171" fontId="23" fillId="0" borderId="0" xfId="29" applyNumberFormat="1" applyFont="1" applyFill="1"/>
    <xf numFmtId="180" fontId="22" fillId="0" borderId="59" xfId="29" applyNumberFormat="1" applyFont="1" applyFill="1" applyBorder="1"/>
    <xf numFmtId="43" fontId="52" fillId="0" borderId="59" xfId="29" applyFont="1" applyFill="1" applyBorder="1"/>
    <xf numFmtId="181" fontId="23" fillId="0" borderId="0" xfId="0" applyNumberFormat="1" applyFont="1" applyFill="1"/>
    <xf numFmtId="167" fontId="52" fillId="23" borderId="1" xfId="30" applyNumberFormat="1" applyFont="1" applyFill="1" applyBorder="1"/>
    <xf numFmtId="167" fontId="52" fillId="23" borderId="52" xfId="29" applyNumberFormat="1" applyFont="1" applyFill="1" applyBorder="1"/>
    <xf numFmtId="167" fontId="53" fillId="23" borderId="1" xfId="30" applyNumberFormat="1" applyFont="1" applyFill="1" applyBorder="1"/>
    <xf numFmtId="167" fontId="23" fillId="23" borderId="0" xfId="0" applyNumberFormat="1" applyFont="1" applyFill="1"/>
    <xf numFmtId="167" fontId="22" fillId="23" borderId="0" xfId="29" applyNumberFormat="1" applyFont="1" applyFill="1"/>
    <xf numFmtId="167" fontId="22" fillId="23" borderId="59" xfId="29" applyNumberFormat="1" applyFont="1" applyFill="1" applyBorder="1"/>
    <xf numFmtId="165" fontId="0" fillId="23" borderId="17" xfId="0" applyNumberFormat="1" applyFill="1" applyBorder="1"/>
    <xf numFmtId="165" fontId="0" fillId="23" borderId="11" xfId="0" applyNumberFormat="1" applyFill="1" applyBorder="1"/>
    <xf numFmtId="165" fontId="0" fillId="23" borderId="1" xfId="0" applyNumberFormat="1" applyFill="1" applyBorder="1"/>
    <xf numFmtId="165" fontId="0" fillId="23" borderId="16" xfId="0" applyNumberFormat="1" applyFill="1" applyBorder="1"/>
    <xf numFmtId="165" fontId="0" fillId="23" borderId="9" xfId="0" applyNumberFormat="1" applyFill="1" applyBorder="1"/>
    <xf numFmtId="0" fontId="2" fillId="0" borderId="0" xfId="38" applyFont="1" applyFill="1"/>
    <xf numFmtId="0" fontId="27" fillId="0" borderId="0" xfId="38" applyFont="1" applyFill="1" applyAlignment="1">
      <alignment horizontal="left"/>
    </xf>
    <xf numFmtId="0" fontId="7" fillId="0" borderId="0" xfId="38" applyFill="1"/>
    <xf numFmtId="43" fontId="7" fillId="0" borderId="0" xfId="38" applyNumberFormat="1" applyFill="1"/>
    <xf numFmtId="0" fontId="27" fillId="0" borderId="0" xfId="38" applyFont="1" applyFill="1" applyAlignment="1">
      <alignment wrapText="1"/>
    </xf>
    <xf numFmtId="167" fontId="27" fillId="0" borderId="0" xfId="38" applyNumberFormat="1" applyFont="1" applyFill="1"/>
    <xf numFmtId="43" fontId="7" fillId="0" borderId="0" xfId="29" applyFont="1" applyFill="1"/>
    <xf numFmtId="0" fontId="27" fillId="0" borderId="0" xfId="38" applyFont="1" applyFill="1"/>
    <xf numFmtId="167" fontId="7" fillId="0" borderId="0" xfId="29" applyNumberFormat="1" applyFont="1" applyFill="1"/>
    <xf numFmtId="179" fontId="27" fillId="0" borderId="0" xfId="29" applyNumberFormat="1" applyFont="1" applyFill="1"/>
    <xf numFmtId="41" fontId="7" fillId="23" borderId="0" xfId="38" applyNumberFormat="1" applyFill="1"/>
    <xf numFmtId="41" fontId="7" fillId="23" borderId="0" xfId="0" applyNumberFormat="1" applyFont="1" applyFill="1"/>
    <xf numFmtId="41" fontId="0" fillId="23" borderId="43" xfId="0" applyNumberFormat="1" applyFill="1" applyBorder="1"/>
    <xf numFmtId="41" fontId="0" fillId="23" borderId="11" xfId="0" applyNumberFormat="1" applyFill="1" applyBorder="1"/>
    <xf numFmtId="41" fontId="27" fillId="23" borderId="41" xfId="0" applyNumberFormat="1" applyFont="1" applyFill="1" applyBorder="1"/>
    <xf numFmtId="41" fontId="0" fillId="23" borderId="3" xfId="0" applyNumberFormat="1" applyFill="1" applyBorder="1"/>
    <xf numFmtId="41" fontId="0" fillId="23" borderId="44" xfId="0" applyNumberFormat="1" applyFill="1" applyBorder="1"/>
    <xf numFmtId="41" fontId="27" fillId="0" borderId="19" xfId="0" applyNumberFormat="1" applyFont="1" applyFill="1" applyBorder="1"/>
    <xf numFmtId="41" fontId="27" fillId="0" borderId="39" xfId="0" applyNumberFormat="1" applyFont="1" applyFill="1" applyBorder="1"/>
    <xf numFmtId="41" fontId="0" fillId="0" borderId="11" xfId="0" applyNumberFormat="1" applyFill="1" applyBorder="1"/>
    <xf numFmtId="41" fontId="0" fillId="0" borderId="3" xfId="0" applyNumberFormat="1" applyFill="1" applyBorder="1"/>
    <xf numFmtId="41" fontId="0" fillId="0" borderId="46" xfId="0" applyNumberFormat="1" applyFill="1" applyBorder="1"/>
    <xf numFmtId="41" fontId="0" fillId="0" borderId="47" xfId="0" applyNumberFormat="1" applyFill="1" applyBorder="1"/>
    <xf numFmtId="41" fontId="27" fillId="0" borderId="40" xfId="0" applyNumberFormat="1" applyFont="1" applyFill="1" applyBorder="1"/>
    <xf numFmtId="41" fontId="0" fillId="23" borderId="46" xfId="0" applyNumberFormat="1" applyFill="1" applyBorder="1"/>
    <xf numFmtId="41" fontId="0" fillId="23" borderId="47" xfId="0" applyNumberFormat="1" applyFill="1" applyBorder="1"/>
    <xf numFmtId="41" fontId="27" fillId="23" borderId="40" xfId="0" applyNumberFormat="1" applyFont="1" applyFill="1" applyBorder="1"/>
    <xf numFmtId="41" fontId="27" fillId="23" borderId="6" xfId="0" applyNumberFormat="1" applyFont="1" applyFill="1" applyBorder="1"/>
    <xf numFmtId="41" fontId="27" fillId="23" borderId="51" xfId="0" applyNumberFormat="1" applyFont="1" applyFill="1" applyBorder="1"/>
    <xf numFmtId="43" fontId="27" fillId="23" borderId="40" xfId="0" applyNumberFormat="1" applyFont="1" applyFill="1" applyBorder="1"/>
    <xf numFmtId="43" fontId="27" fillId="23" borderId="41" xfId="0" applyNumberFormat="1" applyFont="1" applyFill="1" applyBorder="1"/>
    <xf numFmtId="43" fontId="0" fillId="23" borderId="43" xfId="0" applyNumberFormat="1" applyFill="1" applyBorder="1"/>
    <xf numFmtId="43" fontId="0" fillId="23" borderId="44" xfId="0" applyNumberFormat="1" applyFill="1" applyBorder="1"/>
    <xf numFmtId="43" fontId="0" fillId="23" borderId="11" xfId="0" applyNumberFormat="1" applyFill="1" applyBorder="1"/>
    <xf numFmtId="43" fontId="0" fillId="23" borderId="3" xfId="0" applyNumberFormat="1" applyFill="1" applyBorder="1"/>
    <xf numFmtId="43" fontId="0" fillId="23" borderId="46" xfId="0" applyNumberFormat="1" applyFill="1" applyBorder="1"/>
    <xf numFmtId="43" fontId="64" fillId="23" borderId="40" xfId="0" applyNumberFormat="1" applyFont="1" applyFill="1" applyBorder="1"/>
    <xf numFmtId="43" fontId="64" fillId="23" borderId="41" xfId="0" applyNumberFormat="1" applyFont="1" applyFill="1" applyBorder="1"/>
    <xf numFmtId="43" fontId="0" fillId="23" borderId="11" xfId="39" applyFont="1" applyFill="1" applyBorder="1"/>
    <xf numFmtId="43" fontId="27" fillId="23" borderId="40" xfId="39" applyFont="1" applyFill="1" applyBorder="1"/>
    <xf numFmtId="43" fontId="27" fillId="23" borderId="41" xfId="39" applyFont="1" applyFill="1" applyBorder="1"/>
    <xf numFmtId="43" fontId="0" fillId="23" borderId="44" xfId="39" applyFont="1" applyFill="1" applyBorder="1"/>
    <xf numFmtId="43" fontId="0" fillId="23" borderId="3" xfId="39" applyFont="1" applyFill="1" applyBorder="1"/>
    <xf numFmtId="43" fontId="0" fillId="23" borderId="47" xfId="39" applyFont="1" applyFill="1" applyBorder="1"/>
    <xf numFmtId="43" fontId="0" fillId="23" borderId="43" xfId="39" applyFont="1" applyFill="1" applyBorder="1"/>
    <xf numFmtId="43" fontId="0" fillId="23" borderId="46" xfId="39" applyFont="1" applyFill="1" applyBorder="1"/>
    <xf numFmtId="43" fontId="27" fillId="23" borderId="39" xfId="39" applyFont="1" applyFill="1" applyBorder="1"/>
    <xf numFmtId="43" fontId="27" fillId="23" borderId="42" xfId="39" applyFont="1" applyFill="1" applyBorder="1"/>
    <xf numFmtId="43" fontId="27" fillId="23" borderId="24" xfId="39" applyFont="1" applyFill="1" applyBorder="1"/>
    <xf numFmtId="43" fontId="27" fillId="23" borderId="45" xfId="39" applyFont="1" applyFill="1" applyBorder="1"/>
    <xf numFmtId="0" fontId="22" fillId="0" borderId="16" xfId="0" applyFont="1" applyFill="1" applyBorder="1"/>
    <xf numFmtId="0" fontId="22" fillId="0" borderId="9" xfId="0" applyFont="1" applyFill="1" applyBorder="1"/>
    <xf numFmtId="2" fontId="22" fillId="0" borderId="16" xfId="0" applyNumberFormat="1" applyFont="1" applyFill="1" applyBorder="1"/>
    <xf numFmtId="2" fontId="22" fillId="0" borderId="9" xfId="0" applyNumberFormat="1" applyFont="1" applyFill="1" applyBorder="1"/>
    <xf numFmtId="0" fontId="12" fillId="23" borderId="2" xfId="28" applyNumberFormat="1" applyFill="1" applyBorder="1"/>
    <xf numFmtId="0" fontId="12" fillId="23" borderId="5" xfId="28" applyNumberFormat="1" applyFill="1" applyBorder="1"/>
    <xf numFmtId="43" fontId="27" fillId="23" borderId="53" xfId="0" applyNumberFormat="1" applyFont="1" applyFill="1" applyBorder="1"/>
    <xf numFmtId="43" fontId="27" fillId="23" borderId="54" xfId="0" applyNumberFormat="1" applyFont="1" applyFill="1" applyBorder="1"/>
    <xf numFmtId="43" fontId="0" fillId="23" borderId="53" xfId="0" applyNumberFormat="1" applyFill="1" applyBorder="1"/>
    <xf numFmtId="167" fontId="56" fillId="23" borderId="0" xfId="0" applyNumberFormat="1" applyFont="1" applyFill="1" applyBorder="1" applyAlignment="1">
      <alignment horizontal="left"/>
    </xf>
    <xf numFmtId="0" fontId="22" fillId="5" borderId="20" xfId="0" applyFont="1" applyFill="1" applyBorder="1" applyAlignment="1">
      <alignment horizontal="center"/>
    </xf>
    <xf numFmtId="0" fontId="71" fillId="23" borderId="0" xfId="0" applyFont="1" applyFill="1"/>
    <xf numFmtId="0" fontId="22" fillId="23" borderId="0" xfId="0" applyFont="1" applyFill="1"/>
    <xf numFmtId="183" fontId="57" fillId="0" borderId="0" xfId="29" applyNumberFormat="1" applyFont="1"/>
    <xf numFmtId="183" fontId="22" fillId="0" borderId="0" xfId="29" applyNumberFormat="1" applyFont="1" applyFill="1"/>
    <xf numFmtId="183" fontId="22" fillId="0" borderId="0" xfId="29" applyNumberFormat="1" applyFont="1" applyFill="1" applyBorder="1"/>
    <xf numFmtId="183" fontId="62" fillId="0" borderId="0" xfId="29" applyNumberFormat="1" applyFont="1" applyAlignment="1">
      <alignment horizontal="center" vertical="center"/>
    </xf>
    <xf numFmtId="183" fontId="17" fillId="0" borderId="0" xfId="29" applyNumberFormat="1" applyFont="1"/>
    <xf numFmtId="165" fontId="22" fillId="0" borderId="0" xfId="0" applyNumberFormat="1" applyFont="1" applyFill="1" applyBorder="1" applyAlignment="1">
      <alignment horizontal="center" vertical="center"/>
    </xf>
    <xf numFmtId="183" fontId="22" fillId="0" borderId="0" xfId="29" applyNumberFormat="1" applyFont="1"/>
    <xf numFmtId="183" fontId="22" fillId="0" borderId="0" xfId="29" applyNumberFormat="1" applyFont="1" applyBorder="1"/>
    <xf numFmtId="0" fontId="49" fillId="24" borderId="34" xfId="0" applyFont="1" applyFill="1" applyBorder="1" applyAlignment="1">
      <alignment horizontal="left" vertical="center"/>
    </xf>
    <xf numFmtId="176" fontId="60" fillId="24" borderId="0" xfId="0" applyNumberFormat="1" applyFont="1" applyFill="1" applyAlignment="1">
      <alignment horizontal="center"/>
    </xf>
    <xf numFmtId="0" fontId="71" fillId="0" borderId="0" xfId="0" applyFont="1"/>
    <xf numFmtId="183" fontId="1" fillId="0" borderId="0" xfId="29" applyNumberFormat="1" applyFont="1"/>
    <xf numFmtId="0" fontId="54" fillId="0" borderId="0" xfId="38" applyFont="1" applyFill="1" applyAlignment="1">
      <alignment horizontal="left" vertical="center" indent="1"/>
    </xf>
    <xf numFmtId="170" fontId="0" fillId="0" borderId="0" xfId="40" applyNumberFormat="1" applyFont="1" applyFill="1"/>
    <xf numFmtId="168" fontId="22" fillId="3" borderId="48" xfId="0" applyNumberFormat="1" applyFont="1" applyFill="1" applyBorder="1" applyAlignment="1">
      <alignment horizontal="center"/>
    </xf>
    <xf numFmtId="168" fontId="22" fillId="3" borderId="4" xfId="0" applyNumberFormat="1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167" fontId="22" fillId="0" borderId="20" xfId="29" applyNumberFormat="1" applyFont="1" applyFill="1" applyBorder="1" applyAlignment="1">
      <alignment horizontal="center"/>
    </xf>
    <xf numFmtId="167" fontId="22" fillId="0" borderId="48" xfId="29" applyNumberFormat="1" applyFont="1" applyFill="1" applyBorder="1" applyAlignment="1">
      <alignment horizontal="center"/>
    </xf>
    <xf numFmtId="167" fontId="22" fillId="0" borderId="4" xfId="29" applyNumberFormat="1" applyFont="1" applyFill="1" applyBorder="1" applyAlignment="1">
      <alignment horizontal="center"/>
    </xf>
    <xf numFmtId="1" fontId="6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9" xfId="0" applyBorder="1" applyAlignment="1">
      <alignment wrapText="1"/>
    </xf>
    <xf numFmtId="0" fontId="43" fillId="16" borderId="21" xfId="0" applyFont="1" applyFill="1" applyBorder="1" applyAlignment="1">
      <alignment horizontal="center" wrapText="1"/>
    </xf>
    <xf numFmtId="0" fontId="43" fillId="16" borderId="38" xfId="0" applyFont="1" applyFill="1" applyBorder="1" applyAlignment="1">
      <alignment horizontal="center" wrapText="1"/>
    </xf>
    <xf numFmtId="0" fontId="27" fillId="21" borderId="21" xfId="0" applyFont="1" applyFill="1" applyBorder="1" applyAlignment="1">
      <alignment horizontal="center" wrapText="1"/>
    </xf>
    <xf numFmtId="0" fontId="27" fillId="21" borderId="38" xfId="0" applyFont="1" applyFill="1" applyBorder="1" applyAlignment="1">
      <alignment horizontal="center" wrapText="1"/>
    </xf>
    <xf numFmtId="0" fontId="43" fillId="10" borderId="35" xfId="0" applyFont="1" applyFill="1" applyBorder="1" applyAlignment="1">
      <alignment horizontal="center"/>
    </xf>
    <xf numFmtId="0" fontId="43" fillId="10" borderId="36" xfId="0" applyFont="1" applyFill="1" applyBorder="1" applyAlignment="1">
      <alignment horizontal="center"/>
    </xf>
    <xf numFmtId="0" fontId="27" fillId="15" borderId="21" xfId="0" applyFont="1" applyFill="1" applyBorder="1" applyAlignment="1">
      <alignment horizontal="center" wrapText="1"/>
    </xf>
    <xf numFmtId="0" fontId="27" fillId="15" borderId="38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165" fontId="22" fillId="2" borderId="18" xfId="0" applyNumberFormat="1" applyFont="1" applyFill="1" applyBorder="1" applyAlignment="1">
      <alignment horizontal="center" vertical="center"/>
    </xf>
    <xf numFmtId="165" fontId="22" fillId="2" borderId="0" xfId="0" applyNumberFormat="1" applyFont="1" applyFill="1" applyBorder="1" applyAlignment="1">
      <alignment horizontal="center" vertical="center"/>
    </xf>
    <xf numFmtId="0" fontId="22" fillId="2" borderId="18" xfId="0" applyNumberFormat="1" applyFont="1" applyFill="1" applyBorder="1" applyAlignment="1">
      <alignment horizontal="center" vertical="center"/>
    </xf>
    <xf numFmtId="0" fontId="43" fillId="15" borderId="56" xfId="0" applyFont="1" applyFill="1" applyBorder="1" applyAlignment="1">
      <alignment horizontal="center" wrapText="1"/>
    </xf>
    <xf numFmtId="0" fontId="43" fillId="15" borderId="57" xfId="0" applyFont="1" applyFill="1" applyBorder="1" applyAlignment="1">
      <alignment horizontal="center" wrapText="1"/>
    </xf>
  </cellXfs>
  <cellStyles count="44">
    <cellStyle name="Comma" xfId="29" builtinId="3"/>
    <cellStyle name="Comma 10" xfId="36"/>
    <cellStyle name="Comma 2" xfId="3"/>
    <cellStyle name="Comma 2 2" xfId="39"/>
    <cellStyle name="Comma 3" xfId="6"/>
    <cellStyle name="Comma 4" xfId="8"/>
    <cellStyle name="Comma 5" xfId="12"/>
    <cellStyle name="Comma 6" xfId="14"/>
    <cellStyle name="Comma 7" xfId="21"/>
    <cellStyle name="Comma 8" xfId="23"/>
    <cellStyle name="Comma 9" xfId="32"/>
    <cellStyle name="Good" xfId="24" builtinId="26"/>
    <cellStyle name="Hyperlink" xfId="42" builtinId="8"/>
    <cellStyle name="Normal" xfId="0" builtinId="0"/>
    <cellStyle name="Normal 10" xfId="30"/>
    <cellStyle name="Normal 11" xfId="33"/>
    <cellStyle name="Normal 11 2" xfId="38"/>
    <cellStyle name="Normal 12" xfId="35"/>
    <cellStyle name="Normal 13" xfId="43"/>
    <cellStyle name="Normal 2" xfId="2"/>
    <cellStyle name="Normal 3" xfId="5"/>
    <cellStyle name="Normal 4" xfId="7"/>
    <cellStyle name="Normal 5" xfId="9"/>
    <cellStyle name="Normal 5 2" xfId="11"/>
    <cellStyle name="Normal 5 3" xfId="13"/>
    <cellStyle name="Normal 5 3 2" xfId="20"/>
    <cellStyle name="Normal 5 3 3" xfId="25"/>
    <cellStyle name="Normal 5 4" xfId="31"/>
    <cellStyle name="Normal 6" xfId="10"/>
    <cellStyle name="Normal 7" xfId="15"/>
    <cellStyle name="Normal 7 2" xfId="26"/>
    <cellStyle name="Normal 7 2 2" xfId="41"/>
    <cellStyle name="Normal 8" xfId="17"/>
    <cellStyle name="Normal 8 2" xfId="19"/>
    <cellStyle name="Normal 8 3" xfId="28"/>
    <cellStyle name="Normal 9" xfId="22"/>
    <cellStyle name="Percent" xfId="1" builtinId="5"/>
    <cellStyle name="Percent 2" xfId="4"/>
    <cellStyle name="Percent 3" xfId="16"/>
    <cellStyle name="Percent 3 2" xfId="27"/>
    <cellStyle name="Percent 4" xfId="34"/>
    <cellStyle name="Percent 4 2" xfId="40"/>
    <cellStyle name="Percent 5" xfId="37"/>
    <cellStyle name="Standaard_Map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85725</xdr:rowOff>
    </xdr:from>
    <xdr:to>
      <xdr:col>13</xdr:col>
      <xdr:colOff>880483</xdr:colOff>
      <xdr:row>20</xdr:row>
      <xdr:rowOff>95815</xdr:rowOff>
    </xdr:to>
    <xdr:sp macro="" textlink="">
      <xdr:nvSpPr>
        <xdr:cNvPr id="3073" name="Object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6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85725</xdr:rowOff>
    </xdr:from>
    <xdr:to>
      <xdr:col>13</xdr:col>
      <xdr:colOff>868849</xdr:colOff>
      <xdr:row>20</xdr:row>
      <xdr:rowOff>82480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4E7DF882-E148-4A0E-96C8-FB48BEAB3E3E}"/>
            </a:ext>
          </a:extLst>
        </xdr:cNvPr>
        <xdr:cNvSpPr/>
      </xdr:nvSpPr>
      <xdr:spPr bwMode="auto">
        <a:xfrm>
          <a:off x="7975600" y="219075"/>
          <a:ext cx="5697389" cy="36416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"/>
  <sheetViews>
    <sheetView workbookViewId="0"/>
  </sheetViews>
  <sheetFormatPr defaultRowHeight="12.75" x14ac:dyDescent="0.2"/>
  <sheetData>
    <row r="1" spans="1:5" x14ac:dyDescent="0.2">
      <c r="A1" s="20" t="s">
        <v>6</v>
      </c>
      <c r="B1" s="20" t="s">
        <v>7</v>
      </c>
      <c r="C1" s="20" t="s">
        <v>8</v>
      </c>
      <c r="D1" s="20" t="s">
        <v>9</v>
      </c>
      <c r="E1" s="20" t="s">
        <v>10</v>
      </c>
    </row>
    <row r="2" spans="1:5" x14ac:dyDescent="0.2">
      <c r="A2">
        <v>2</v>
      </c>
      <c r="B2">
        <v>3</v>
      </c>
      <c r="C2">
        <v>8</v>
      </c>
      <c r="D2">
        <v>7</v>
      </c>
      <c r="E2" t="s">
        <v>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2:I138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7" sqref="A7"/>
    </sheetView>
  </sheetViews>
  <sheetFormatPr defaultRowHeight="12.75" x14ac:dyDescent="0.2"/>
  <cols>
    <col min="1" max="1" width="3" customWidth="1"/>
    <col min="2" max="2" width="48.5703125" bestFit="1" customWidth="1"/>
    <col min="3" max="3" width="19.42578125" customWidth="1"/>
    <col min="4" max="4" width="16.42578125" customWidth="1"/>
    <col min="5" max="6" width="17.5703125" customWidth="1"/>
    <col min="7" max="7" width="15.85546875" customWidth="1"/>
    <col min="8" max="8" width="18" customWidth="1"/>
    <col min="9" max="9" width="65.42578125" customWidth="1"/>
  </cols>
  <sheetData>
    <row r="2" spans="1:9" x14ac:dyDescent="0.2">
      <c r="B2" s="193"/>
    </row>
    <row r="4" spans="1:9" s="265" customFormat="1" ht="13.5" thickBot="1" x14ac:dyDescent="0.25">
      <c r="A4"/>
      <c r="B4" s="262" t="str">
        <f>IF($C$138="ROMANA","CAPEX (RON)","CAPEX (RON)")</f>
        <v>CAPEX (RON)</v>
      </c>
      <c r="C4" s="262" t="str">
        <f>IF($C$138="ROMANA","Final 2008","end 2008")</f>
        <v>end 2008</v>
      </c>
      <c r="D4" s="262" t="str">
        <f>IF($C$138="ROMANA","Final 2009","end 2009")</f>
        <v>end 2009</v>
      </c>
      <c r="E4" s="262" t="str">
        <f>IF($C$138="ROMANA","Final 2010","end 2010")</f>
        <v>end 2010</v>
      </c>
      <c r="F4" s="262" t="str">
        <f>IF($C$138="ROMANA","Final 2011","end 2011")</f>
        <v>end 2011</v>
      </c>
      <c r="G4" s="262" t="str">
        <f>IF($C$138="ROMANA","Final 2012","end 2012")</f>
        <v>end 2012</v>
      </c>
      <c r="H4" s="262" t="s">
        <v>119</v>
      </c>
      <c r="I4" s="262" t="s">
        <v>113</v>
      </c>
    </row>
    <row r="5" spans="1:9" x14ac:dyDescent="0.2">
      <c r="B5" s="165" t="s">
        <v>99</v>
      </c>
      <c r="C5" s="455">
        <v>3481200</v>
      </c>
      <c r="D5" s="458">
        <v>1506300</v>
      </c>
      <c r="E5" s="458">
        <v>23551089</v>
      </c>
      <c r="F5" s="458">
        <v>33506904</v>
      </c>
      <c r="G5" s="458">
        <v>42502367</v>
      </c>
      <c r="H5" s="458">
        <v>2065348</v>
      </c>
      <c r="I5" s="182" t="s">
        <v>105</v>
      </c>
    </row>
    <row r="6" spans="1:9" x14ac:dyDescent="0.2">
      <c r="B6" s="165" t="s">
        <v>89</v>
      </c>
      <c r="C6" s="456">
        <v>203644</v>
      </c>
      <c r="D6" s="457">
        <v>323507</v>
      </c>
      <c r="E6" s="457">
        <v>507003</v>
      </c>
      <c r="F6" s="178">
        <v>2005600</v>
      </c>
      <c r="G6" s="457">
        <v>2053611</v>
      </c>
      <c r="H6" s="457">
        <v>733445</v>
      </c>
      <c r="I6" s="183" t="s">
        <v>106</v>
      </c>
    </row>
    <row r="7" spans="1:9" x14ac:dyDescent="0.2">
      <c r="B7" s="165" t="s">
        <v>114</v>
      </c>
      <c r="C7" s="179">
        <v>0</v>
      </c>
      <c r="D7" s="178">
        <v>0</v>
      </c>
      <c r="E7" s="457">
        <v>389207</v>
      </c>
      <c r="F7" s="457">
        <v>302500</v>
      </c>
      <c r="G7" s="457">
        <v>43004</v>
      </c>
      <c r="H7" s="178">
        <v>0</v>
      </c>
      <c r="I7" s="183" t="s">
        <v>107</v>
      </c>
    </row>
    <row r="8" spans="1:9" x14ac:dyDescent="0.2">
      <c r="B8" s="165" t="s">
        <v>100</v>
      </c>
      <c r="C8" s="179">
        <v>0</v>
      </c>
      <c r="D8" s="178">
        <v>0</v>
      </c>
      <c r="E8" s="457">
        <v>183500</v>
      </c>
      <c r="F8" s="457">
        <v>3607500</v>
      </c>
      <c r="G8" s="457">
        <v>329500</v>
      </c>
      <c r="H8" s="457">
        <v>15300</v>
      </c>
      <c r="I8" s="183" t="s">
        <v>108</v>
      </c>
    </row>
    <row r="9" spans="1:9" x14ac:dyDescent="0.2">
      <c r="B9" s="165" t="s">
        <v>101</v>
      </c>
      <c r="C9" s="179">
        <v>0</v>
      </c>
      <c r="D9" s="178">
        <v>0</v>
      </c>
      <c r="E9" s="178">
        <v>0</v>
      </c>
      <c r="F9" s="178">
        <v>0</v>
      </c>
      <c r="G9" s="457">
        <v>73249</v>
      </c>
      <c r="H9" s="457">
        <v>2405</v>
      </c>
      <c r="I9" s="183" t="s">
        <v>109</v>
      </c>
    </row>
    <row r="10" spans="1:9" x14ac:dyDescent="0.2">
      <c r="B10" s="165" t="s">
        <v>102</v>
      </c>
      <c r="C10" s="456">
        <v>986333</v>
      </c>
      <c r="D10" s="457">
        <v>509860</v>
      </c>
      <c r="E10" s="457">
        <v>4503900</v>
      </c>
      <c r="F10" s="457">
        <v>12307200</v>
      </c>
      <c r="G10" s="457">
        <v>1604899</v>
      </c>
      <c r="H10" s="457">
        <v>259600</v>
      </c>
      <c r="I10" s="183" t="s">
        <v>110</v>
      </c>
    </row>
    <row r="11" spans="1:9" x14ac:dyDescent="0.2">
      <c r="B11" s="165" t="s">
        <v>104</v>
      </c>
      <c r="C11" s="179">
        <v>0</v>
      </c>
      <c r="D11" s="178">
        <v>0</v>
      </c>
      <c r="E11" s="178">
        <v>0</v>
      </c>
      <c r="F11" s="178">
        <v>0</v>
      </c>
      <c r="G11" s="457">
        <v>55633</v>
      </c>
      <c r="H11" s="457">
        <v>23600</v>
      </c>
      <c r="I11" s="183" t="s">
        <v>111</v>
      </c>
    </row>
    <row r="12" spans="1:9" x14ac:dyDescent="0.2">
      <c r="B12" s="165" t="s">
        <v>103</v>
      </c>
      <c r="C12" s="179">
        <v>0</v>
      </c>
      <c r="D12" s="178">
        <v>0</v>
      </c>
      <c r="E12" s="178">
        <v>0</v>
      </c>
      <c r="F12" s="178">
        <v>0</v>
      </c>
      <c r="G12" s="457">
        <v>33207</v>
      </c>
      <c r="H12" s="178">
        <v>0</v>
      </c>
      <c r="I12" s="183" t="s">
        <v>112</v>
      </c>
    </row>
    <row r="13" spans="1:9" ht="13.5" thickBot="1" x14ac:dyDescent="0.25">
      <c r="B13" s="165" t="s">
        <v>120</v>
      </c>
      <c r="C13" s="180">
        <v>0</v>
      </c>
      <c r="D13" s="181">
        <v>0</v>
      </c>
      <c r="E13" s="181">
        <v>0</v>
      </c>
      <c r="F13" s="181">
        <v>0</v>
      </c>
      <c r="G13" s="181">
        <v>0</v>
      </c>
      <c r="H13" s="459">
        <v>453200</v>
      </c>
      <c r="I13" s="184" t="s">
        <v>121</v>
      </c>
    </row>
    <row r="15" spans="1:9" ht="15" x14ac:dyDescent="0.25">
      <c r="B15" t="s">
        <v>115</v>
      </c>
      <c r="C15" s="195" t="b">
        <v>1</v>
      </c>
      <c r="D15" s="195" t="b">
        <v>1</v>
      </c>
      <c r="E15" s="195" t="b">
        <v>1</v>
      </c>
      <c r="F15" s="195" t="b">
        <v>1</v>
      </c>
      <c r="G15" s="195" t="b">
        <v>1</v>
      </c>
      <c r="H15" s="195" t="b">
        <v>1</v>
      </c>
    </row>
    <row r="16" spans="1:9" x14ac:dyDescent="0.2">
      <c r="F16" s="194"/>
    </row>
    <row r="18" spans="3:6" x14ac:dyDescent="0.2">
      <c r="C18" s="194"/>
      <c r="E18" s="194"/>
      <c r="F18" s="194"/>
    </row>
    <row r="19" spans="3:6" x14ac:dyDescent="0.2">
      <c r="E19" s="194"/>
      <c r="F19" s="194"/>
    </row>
    <row r="21" spans="3:6" x14ac:dyDescent="0.2">
      <c r="E21" s="194"/>
      <c r="F21" s="194"/>
    </row>
    <row r="24" spans="3:6" x14ac:dyDescent="0.2">
      <c r="F24" s="194"/>
    </row>
    <row r="25" spans="3:6" x14ac:dyDescent="0.2">
      <c r="F25" s="194"/>
    </row>
    <row r="27" spans="3:6" x14ac:dyDescent="0.2">
      <c r="F27" s="194"/>
    </row>
    <row r="138" hidden="1" x14ac:dyDescent="0.2"/>
  </sheetData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A1:AK137"/>
  <sheetViews>
    <sheetView topLeftCell="A136" zoomScale="80" zoomScaleNormal="80" workbookViewId="0">
      <selection activeCell="A145" sqref="A145"/>
    </sheetView>
  </sheetViews>
  <sheetFormatPr defaultColWidth="9.140625" defaultRowHeight="15" x14ac:dyDescent="0.25"/>
  <cols>
    <col min="1" max="1" width="9.42578125" style="278" bestFit="1" customWidth="1"/>
    <col min="2" max="2" width="32.140625" style="278" bestFit="1" customWidth="1"/>
    <col min="3" max="3" width="13.7109375" style="278" bestFit="1" customWidth="1"/>
    <col min="4" max="4" width="13.140625" style="278" customWidth="1"/>
    <col min="5" max="5" width="11.85546875" style="278" bestFit="1" customWidth="1"/>
    <col min="6" max="6" width="9.140625" style="278" bestFit="1" customWidth="1"/>
    <col min="7" max="7" width="10.85546875" style="278" bestFit="1" customWidth="1"/>
    <col min="8" max="8" width="9.85546875" style="278" customWidth="1"/>
    <col min="9" max="9" width="10.42578125" style="278" bestFit="1" customWidth="1"/>
    <col min="10" max="11" width="10.85546875" style="278" bestFit="1" customWidth="1"/>
    <col min="12" max="13" width="9.140625" style="278" bestFit="1" customWidth="1"/>
    <col min="14" max="14" width="11.85546875" style="278" customWidth="1"/>
    <col min="15" max="15" width="9.140625" style="278" bestFit="1" customWidth="1"/>
    <col min="16" max="16" width="8.140625" style="278" bestFit="1" customWidth="1"/>
    <col min="17" max="17" width="9.85546875" style="278" customWidth="1"/>
    <col min="18" max="18" width="9.140625" style="278" bestFit="1" customWidth="1"/>
    <col min="19" max="19" width="9.85546875" style="278" customWidth="1"/>
    <col min="20" max="20" width="11.140625" style="278" customWidth="1"/>
    <col min="21" max="29" width="9.85546875" style="278" customWidth="1"/>
    <col min="30" max="30" width="10.85546875" style="278" bestFit="1" customWidth="1"/>
    <col min="31" max="31" width="10.5703125" style="278" bestFit="1" customWidth="1"/>
    <col min="32" max="32" width="13.5703125" style="278" bestFit="1" customWidth="1"/>
    <col min="33" max="33" width="5.5703125" style="278" bestFit="1" customWidth="1"/>
    <col min="34" max="34" width="130.5703125" style="278" customWidth="1"/>
    <col min="35" max="16384" width="9.140625" style="278"/>
  </cols>
  <sheetData>
    <row r="1" spans="2:9" x14ac:dyDescent="0.25">
      <c r="B1" s="320" t="s">
        <v>187</v>
      </c>
      <c r="C1" s="321"/>
      <c r="D1" s="321"/>
      <c r="E1" s="322" t="s">
        <v>222</v>
      </c>
    </row>
    <row r="3" spans="2:9" x14ac:dyDescent="0.25">
      <c r="B3" s="279"/>
      <c r="C3" s="279" t="s">
        <v>36</v>
      </c>
      <c r="D3" s="279" t="s">
        <v>37</v>
      </c>
      <c r="E3" s="279" t="s">
        <v>3</v>
      </c>
    </row>
    <row r="4" spans="2:9" x14ac:dyDescent="0.25">
      <c r="B4" s="280" t="s">
        <v>223</v>
      </c>
      <c r="C4" s="470">
        <v>623551</v>
      </c>
      <c r="D4" s="470">
        <v>307004</v>
      </c>
      <c r="E4" s="282">
        <f>C4+D4</f>
        <v>930555</v>
      </c>
      <c r="F4" s="460"/>
    </row>
    <row r="5" spans="2:9" x14ac:dyDescent="0.25">
      <c r="B5" s="280"/>
      <c r="C5" s="281"/>
      <c r="D5" s="281"/>
      <c r="E5" s="282"/>
    </row>
    <row r="6" spans="2:9" x14ac:dyDescent="0.25">
      <c r="B6" s="280"/>
      <c r="C6" s="281"/>
      <c r="D6" s="281"/>
      <c r="E6" s="282"/>
    </row>
    <row r="8" spans="2:9" x14ac:dyDescent="0.25">
      <c r="B8" s="320" t="s">
        <v>188</v>
      </c>
      <c r="C8" s="321"/>
      <c r="D8" s="321"/>
      <c r="E8" s="321"/>
    </row>
    <row r="10" spans="2:9" x14ac:dyDescent="0.25">
      <c r="B10" s="279"/>
      <c r="C10" s="279" t="s">
        <v>36</v>
      </c>
      <c r="D10" s="279" t="s">
        <v>37</v>
      </c>
      <c r="E10" s="279" t="s">
        <v>3</v>
      </c>
    </row>
    <row r="11" spans="2:9" x14ac:dyDescent="0.25">
      <c r="B11" s="461" t="s">
        <v>128</v>
      </c>
      <c r="C11" s="470">
        <v>2566300</v>
      </c>
      <c r="D11" s="470">
        <v>899307</v>
      </c>
      <c r="E11" s="282">
        <f>C11+D11</f>
        <v>3465607</v>
      </c>
      <c r="F11" s="462"/>
    </row>
    <row r="12" spans="2:9" x14ac:dyDescent="0.25">
      <c r="B12" s="461" t="s">
        <v>129</v>
      </c>
      <c r="C12" s="470">
        <v>14300040</v>
      </c>
      <c r="D12" s="470">
        <v>2400500</v>
      </c>
      <c r="E12" s="282">
        <f t="shared" ref="E12:E14" si="0">C12+D12</f>
        <v>16700540</v>
      </c>
      <c r="F12" s="462"/>
      <c r="H12" s="364"/>
      <c r="I12" s="364"/>
    </row>
    <row r="13" spans="2:9" x14ac:dyDescent="0.25">
      <c r="B13" s="461" t="s">
        <v>130</v>
      </c>
      <c r="C13" s="281">
        <v>0</v>
      </c>
      <c r="D13" s="470">
        <v>45300</v>
      </c>
      <c r="E13" s="282">
        <f t="shared" si="0"/>
        <v>45300</v>
      </c>
      <c r="F13" s="462"/>
      <c r="G13" s="364"/>
      <c r="H13" s="283"/>
    </row>
    <row r="14" spans="2:9" x14ac:dyDescent="0.25">
      <c r="B14" s="280" t="s">
        <v>131</v>
      </c>
      <c r="C14" s="281">
        <v>0</v>
      </c>
      <c r="D14" s="471">
        <v>165117</v>
      </c>
      <c r="E14" s="282">
        <f t="shared" si="0"/>
        <v>165117</v>
      </c>
      <c r="F14" s="283"/>
      <c r="G14" s="284"/>
    </row>
    <row r="16" spans="2:9" x14ac:dyDescent="0.25">
      <c r="F16" s="285"/>
    </row>
    <row r="18" spans="2:32" x14ac:dyDescent="0.25">
      <c r="B18" s="320" t="s">
        <v>189</v>
      </c>
      <c r="C18" s="321"/>
      <c r="D18" s="321"/>
      <c r="E18" s="321"/>
      <c r="F18" s="286"/>
    </row>
    <row r="20" spans="2:32" x14ac:dyDescent="0.25">
      <c r="B20" s="279"/>
      <c r="C20" s="279" t="s">
        <v>36</v>
      </c>
      <c r="D20" s="279" t="s">
        <v>37</v>
      </c>
      <c r="E20" s="279" t="s">
        <v>3</v>
      </c>
    </row>
    <row r="21" spans="2:32" x14ac:dyDescent="0.25">
      <c r="B21" s="461" t="s">
        <v>128</v>
      </c>
      <c r="C21" s="470">
        <v>733500</v>
      </c>
      <c r="D21" s="470">
        <v>322500</v>
      </c>
      <c r="E21" s="282">
        <f>C21+D21</f>
        <v>1056000</v>
      </c>
      <c r="F21" s="462"/>
    </row>
    <row r="22" spans="2:32" x14ac:dyDescent="0.25">
      <c r="B22" s="461" t="s">
        <v>129</v>
      </c>
      <c r="C22" s="470">
        <v>4060200</v>
      </c>
      <c r="D22" s="470">
        <v>470509</v>
      </c>
      <c r="E22" s="282">
        <f t="shared" ref="E22:E24" si="1">C22+D22</f>
        <v>4530709</v>
      </c>
      <c r="F22" s="463"/>
      <c r="G22" s="283"/>
      <c r="H22" s="283"/>
    </row>
    <row r="23" spans="2:32" x14ac:dyDescent="0.25">
      <c r="B23" s="461" t="s">
        <v>132</v>
      </c>
      <c r="C23" s="470">
        <v>409300</v>
      </c>
      <c r="D23" s="470">
        <v>115004</v>
      </c>
      <c r="E23" s="282">
        <f t="shared" si="1"/>
        <v>524304</v>
      </c>
      <c r="F23" s="462"/>
    </row>
    <row r="24" spans="2:32" x14ac:dyDescent="0.25">
      <c r="B24" s="461" t="s">
        <v>131</v>
      </c>
      <c r="C24" s="281">
        <v>0</v>
      </c>
      <c r="D24" s="470">
        <v>73500</v>
      </c>
      <c r="E24" s="282">
        <f t="shared" si="1"/>
        <v>73500</v>
      </c>
      <c r="F24" s="281"/>
      <c r="G24" s="316"/>
    </row>
    <row r="25" spans="2:32" x14ac:dyDescent="0.25">
      <c r="AF25" s="288"/>
    </row>
    <row r="26" spans="2:32" x14ac:dyDescent="0.25">
      <c r="B26" s="320" t="s">
        <v>332</v>
      </c>
      <c r="C26" s="321"/>
      <c r="D26" s="321"/>
      <c r="E26" s="321"/>
      <c r="AF26" s="288"/>
    </row>
    <row r="27" spans="2:32" s="462" customFormat="1" x14ac:dyDescent="0.25">
      <c r="B27" s="535"/>
      <c r="AF27" s="536"/>
    </row>
    <row r="28" spans="2:32" x14ac:dyDescent="0.25">
      <c r="B28" s="279"/>
      <c r="C28" s="279" t="s">
        <v>36</v>
      </c>
      <c r="D28" s="279" t="s">
        <v>37</v>
      </c>
      <c r="E28" s="279" t="s">
        <v>3</v>
      </c>
    </row>
    <row r="29" spans="2:32" ht="30" x14ac:dyDescent="0.25">
      <c r="B29" s="464" t="s">
        <v>259</v>
      </c>
      <c r="C29" s="465">
        <f>C12-C22-C12*0.25-C23*'4. Capacitati de retea'!$C$24</f>
        <v>6133806.6284094593</v>
      </c>
      <c r="D29" s="465">
        <f>D12-D22-D12*0.25-D23*'4. Capacitati de retea'!$C$24</f>
        <v>1180660.4983474261</v>
      </c>
      <c r="E29" s="465">
        <f>E12-E22-E12*0.25-E23*'4. Capacitati de retea'!$C$24</f>
        <v>7314467.126756886</v>
      </c>
      <c r="F29" s="462"/>
      <c r="AF29" s="288"/>
    </row>
    <row r="30" spans="2:32" x14ac:dyDescent="0.25">
      <c r="B30" s="460" t="s">
        <v>256</v>
      </c>
      <c r="C30" s="466">
        <f>Materiale!F4</f>
        <v>0.52722646820402219</v>
      </c>
      <c r="D30" s="462"/>
      <c r="E30" s="462"/>
      <c r="F30" s="462"/>
      <c r="AF30" s="288"/>
    </row>
    <row r="31" spans="2:32" x14ac:dyDescent="0.25">
      <c r="B31" s="467" t="s">
        <v>257</v>
      </c>
      <c r="C31" s="468">
        <f>C29*$C$30</f>
        <v>3233905.2053427403</v>
      </c>
      <c r="D31" s="468">
        <f t="shared" ref="D31:E31" si="2">D29*$C$30</f>
        <v>622475.46469171427</v>
      </c>
      <c r="E31" s="468">
        <f t="shared" si="2"/>
        <v>3856380.6700344551</v>
      </c>
      <c r="F31" s="462"/>
      <c r="AF31" s="288"/>
    </row>
    <row r="32" spans="2:32" x14ac:dyDescent="0.25">
      <c r="B32" s="467" t="s">
        <v>258</v>
      </c>
      <c r="C32" s="469">
        <f>C31/'Ipoteze de lucru'!$C$15</f>
        <v>731818.33114793862</v>
      </c>
      <c r="D32" s="469">
        <f>D31/'Ipoteze de lucru'!$C$15</f>
        <v>140863.42265030873</v>
      </c>
      <c r="E32" s="469">
        <f>E31/'Ipoteze de lucru'!$C$15</f>
        <v>872681.75379824743</v>
      </c>
      <c r="F32" s="462"/>
      <c r="AF32" s="288"/>
    </row>
    <row r="33" spans="2:33" x14ac:dyDescent="0.25">
      <c r="B33" s="467"/>
      <c r="C33" s="469"/>
      <c r="D33" s="469"/>
      <c r="E33" s="469"/>
      <c r="F33" s="462"/>
      <c r="AF33" s="288"/>
    </row>
    <row r="34" spans="2:33" ht="30" x14ac:dyDescent="0.25">
      <c r="B34" s="464" t="s">
        <v>260</v>
      </c>
      <c r="C34" s="469">
        <f>C11-C21-C11*0.25</f>
        <v>1191225</v>
      </c>
      <c r="D34" s="469">
        <f>D11-D21-D11*0.25</f>
        <v>351980.25</v>
      </c>
      <c r="E34" s="469">
        <f>E11-E21-E11*0.25</f>
        <v>1543205.25</v>
      </c>
      <c r="F34" s="462"/>
      <c r="AF34" s="288"/>
    </row>
    <row r="35" spans="2:33" x14ac:dyDescent="0.25">
      <c r="B35" s="460" t="s">
        <v>256</v>
      </c>
      <c r="C35" s="469">
        <f>Materiale!F3</f>
        <v>3.4638464653378183</v>
      </c>
      <c r="D35" s="469"/>
      <c r="E35" s="469"/>
      <c r="F35" s="462"/>
      <c r="AF35" s="288"/>
    </row>
    <row r="36" spans="2:33" x14ac:dyDescent="0.25">
      <c r="B36" s="467" t="s">
        <v>261</v>
      </c>
      <c r="C36" s="469">
        <f>C34*$C$35</f>
        <v>4126220.5056720427</v>
      </c>
      <c r="D36" s="469">
        <f t="shared" ref="D36:E36" si="3">D34*$C$35</f>
        <v>1219205.5448312217</v>
      </c>
      <c r="E36" s="469">
        <f t="shared" si="3"/>
        <v>5345426.0505032642</v>
      </c>
      <c r="F36" s="462"/>
      <c r="AF36" s="288"/>
    </row>
    <row r="37" spans="2:33" x14ac:dyDescent="0.25">
      <c r="B37" s="467" t="s">
        <v>262</v>
      </c>
      <c r="C37" s="469">
        <f>C36/'Ipoteze de lucru'!$C$15</f>
        <v>933745.30565106205</v>
      </c>
      <c r="D37" s="469">
        <f>D36/'Ipoteze de lucru'!$C$15</f>
        <v>275900.77954994835</v>
      </c>
      <c r="E37" s="469">
        <f>E36/'Ipoteze de lucru'!$C$15</f>
        <v>1209646.0852010103</v>
      </c>
      <c r="F37" s="462"/>
      <c r="AF37" s="288"/>
    </row>
    <row r="38" spans="2:33" x14ac:dyDescent="0.25">
      <c r="B38" s="467"/>
      <c r="C38" s="469"/>
      <c r="D38" s="469"/>
      <c r="E38" s="469"/>
      <c r="F38" s="462"/>
      <c r="AF38" s="288"/>
    </row>
    <row r="39" spans="2:33" x14ac:dyDescent="0.25">
      <c r="AF39" s="288"/>
    </row>
    <row r="40" spans="2:33" x14ac:dyDescent="0.25">
      <c r="B40" s="276" t="s">
        <v>211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</row>
    <row r="41" spans="2:33" ht="15.75" thickBot="1" x14ac:dyDescent="0.3"/>
    <row r="42" spans="2:33" x14ac:dyDescent="0.25">
      <c r="B42" s="337" t="s">
        <v>133</v>
      </c>
      <c r="C42" s="109">
        <v>2009</v>
      </c>
      <c r="D42" s="110">
        <v>2009</v>
      </c>
      <c r="E42" s="553" t="s">
        <v>212</v>
      </c>
      <c r="F42" s="109">
        <v>2010</v>
      </c>
      <c r="G42" s="110">
        <v>2010</v>
      </c>
      <c r="H42" s="553" t="s">
        <v>213</v>
      </c>
      <c r="I42" s="109">
        <v>2011</v>
      </c>
      <c r="J42" s="110">
        <v>2011</v>
      </c>
      <c r="K42" s="553" t="s">
        <v>214</v>
      </c>
      <c r="L42" s="109">
        <v>2012</v>
      </c>
      <c r="M42" s="110">
        <v>2012</v>
      </c>
      <c r="N42" s="553" t="s">
        <v>215</v>
      </c>
      <c r="O42" s="109">
        <v>2013</v>
      </c>
      <c r="P42" s="110">
        <v>2013</v>
      </c>
      <c r="Q42" s="553" t="s">
        <v>140</v>
      </c>
      <c r="R42" s="109">
        <v>2014</v>
      </c>
      <c r="S42" s="110">
        <v>2014</v>
      </c>
      <c r="T42" s="553" t="s">
        <v>216</v>
      </c>
      <c r="U42" s="109">
        <v>2015</v>
      </c>
      <c r="V42" s="110">
        <v>2015</v>
      </c>
      <c r="W42" s="553" t="s">
        <v>217</v>
      </c>
      <c r="X42" s="109">
        <v>2016</v>
      </c>
      <c r="Y42" s="110">
        <v>2016</v>
      </c>
      <c r="Z42" s="553" t="s">
        <v>218</v>
      </c>
      <c r="AA42" s="109">
        <v>2017</v>
      </c>
      <c r="AB42" s="110">
        <v>2017</v>
      </c>
      <c r="AC42" s="553" t="s">
        <v>219</v>
      </c>
      <c r="AD42" s="551" t="s">
        <v>39</v>
      </c>
      <c r="AE42" s="552"/>
      <c r="AF42" s="547" t="s">
        <v>40</v>
      </c>
    </row>
    <row r="43" spans="2:33" ht="15.75" thickBot="1" x14ac:dyDescent="0.3">
      <c r="B43"/>
      <c r="C43" s="111" t="s">
        <v>36</v>
      </c>
      <c r="D43" s="112" t="s">
        <v>37</v>
      </c>
      <c r="E43" s="554"/>
      <c r="F43" s="111" t="s">
        <v>36</v>
      </c>
      <c r="G43" s="112" t="s">
        <v>37</v>
      </c>
      <c r="H43" s="554"/>
      <c r="I43" s="111" t="s">
        <v>36</v>
      </c>
      <c r="J43" s="112" t="s">
        <v>37</v>
      </c>
      <c r="K43" s="554"/>
      <c r="L43" s="111" t="s">
        <v>36</v>
      </c>
      <c r="M43" s="112" t="s">
        <v>37</v>
      </c>
      <c r="N43" s="554"/>
      <c r="O43" s="111" t="s">
        <v>36</v>
      </c>
      <c r="P43" s="112" t="s">
        <v>37</v>
      </c>
      <c r="Q43" s="554"/>
      <c r="R43" s="111" t="s">
        <v>36</v>
      </c>
      <c r="S43" s="112" t="s">
        <v>37</v>
      </c>
      <c r="T43" s="554"/>
      <c r="U43" s="111" t="s">
        <v>36</v>
      </c>
      <c r="V43" s="112" t="s">
        <v>37</v>
      </c>
      <c r="W43" s="554"/>
      <c r="X43" s="111" t="s">
        <v>36</v>
      </c>
      <c r="Y43" s="112" t="s">
        <v>37</v>
      </c>
      <c r="Z43" s="554"/>
      <c r="AA43" s="111" t="s">
        <v>36</v>
      </c>
      <c r="AB43" s="112" t="s">
        <v>37</v>
      </c>
      <c r="AC43" s="554"/>
      <c r="AD43" s="113" t="s">
        <v>36</v>
      </c>
      <c r="AE43" s="114" t="s">
        <v>37</v>
      </c>
      <c r="AF43" s="548" t="s">
        <v>3</v>
      </c>
    </row>
    <row r="44" spans="2:33" ht="15.75" thickBot="1" x14ac:dyDescent="0.3">
      <c r="B44" s="338" t="s">
        <v>134</v>
      </c>
      <c r="C44" s="339">
        <f t="shared" ref="C44:AF44" si="4">C45+C57+C58</f>
        <v>237</v>
      </c>
      <c r="D44" s="339">
        <f t="shared" si="4"/>
        <v>173</v>
      </c>
      <c r="E44" s="339">
        <f t="shared" si="4"/>
        <v>410</v>
      </c>
      <c r="F44" s="339">
        <f t="shared" si="4"/>
        <v>662.87460317460318</v>
      </c>
      <c r="G44" s="339">
        <f t="shared" si="4"/>
        <v>1092.125396825397</v>
      </c>
      <c r="H44" s="339">
        <f t="shared" si="4"/>
        <v>1755.0000000000002</v>
      </c>
      <c r="I44" s="339">
        <f t="shared" si="4"/>
        <v>2649.9171717171848</v>
      </c>
      <c r="J44" s="339">
        <f t="shared" si="4"/>
        <v>8050.082828282837</v>
      </c>
      <c r="K44" s="339">
        <f t="shared" si="4"/>
        <v>10700.000000000022</v>
      </c>
      <c r="L44" s="339">
        <f t="shared" si="4"/>
        <v>1479.8306599832852</v>
      </c>
      <c r="M44" s="339">
        <f t="shared" si="4"/>
        <v>4524.1693400167114</v>
      </c>
      <c r="N44" s="339">
        <f t="shared" si="4"/>
        <v>5838.9999999999973</v>
      </c>
      <c r="O44" s="339">
        <f t="shared" si="4"/>
        <v>34.549999999999997</v>
      </c>
      <c r="P44" s="339">
        <f t="shared" si="4"/>
        <v>277.45</v>
      </c>
      <c r="Q44" s="339">
        <f t="shared" si="4"/>
        <v>312</v>
      </c>
      <c r="R44" s="339">
        <f t="shared" si="4"/>
        <v>14.95</v>
      </c>
      <c r="S44" s="339">
        <f t="shared" si="4"/>
        <v>159.05000000000001</v>
      </c>
      <c r="T44" s="339">
        <f t="shared" si="4"/>
        <v>169</v>
      </c>
      <c r="U44" s="339">
        <f t="shared" si="4"/>
        <v>42.046464646464642</v>
      </c>
      <c r="V44" s="339">
        <f t="shared" si="4"/>
        <v>251.95353535353536</v>
      </c>
      <c r="W44" s="339">
        <f t="shared" si="4"/>
        <v>277</v>
      </c>
      <c r="X44" s="339">
        <f t="shared" si="4"/>
        <v>28.269047619047623</v>
      </c>
      <c r="Y44" s="339">
        <f t="shared" si="4"/>
        <v>193.73095238095237</v>
      </c>
      <c r="Z44" s="339">
        <f t="shared" si="4"/>
        <v>206</v>
      </c>
      <c r="AA44" s="339">
        <f t="shared" si="4"/>
        <v>140.02470210948474</v>
      </c>
      <c r="AB44" s="339">
        <f t="shared" si="4"/>
        <v>2537.9752978905153</v>
      </c>
      <c r="AC44" s="339">
        <f t="shared" si="4"/>
        <v>2679</v>
      </c>
      <c r="AD44" s="339">
        <f t="shared" si="4"/>
        <v>6079</v>
      </c>
      <c r="AE44" s="339">
        <f t="shared" si="4"/>
        <v>14383</v>
      </c>
      <c r="AF44" s="341">
        <f t="shared" si="4"/>
        <v>20462</v>
      </c>
      <c r="AG44" s="289"/>
    </row>
    <row r="45" spans="2:33" ht="15.75" thickBot="1" x14ac:dyDescent="0.3">
      <c r="B45" s="115" t="s">
        <v>135</v>
      </c>
      <c r="C45" s="125">
        <f>C46+C48+C49+C50+C51+C52+C53+C47+C54+C55+C56</f>
        <v>237</v>
      </c>
      <c r="D45" s="125">
        <f>D46+D48+D49+D50+D51+D52+D53+D47+D54+D55+D56</f>
        <v>76</v>
      </c>
      <c r="E45" s="340">
        <f>C45+D45</f>
        <v>313</v>
      </c>
      <c r="F45" s="125">
        <v>662.87460317460318</v>
      </c>
      <c r="G45" s="126">
        <v>200.12539682539699</v>
      </c>
      <c r="H45" s="340">
        <f>F45+G45</f>
        <v>863.00000000000023</v>
      </c>
      <c r="I45" s="125">
        <v>2649.9171717171848</v>
      </c>
      <c r="J45" s="126">
        <v>1144.082828282837</v>
      </c>
      <c r="K45" s="340">
        <f>I45+J45</f>
        <v>3794.0000000000218</v>
      </c>
      <c r="L45" s="125">
        <v>1245.8306599832852</v>
      </c>
      <c r="M45" s="126">
        <v>805.16934001671189</v>
      </c>
      <c r="N45" s="340">
        <f>L45+M45</f>
        <v>2050.9999999999973</v>
      </c>
      <c r="O45" s="125">
        <v>34.549999999999997</v>
      </c>
      <c r="P45" s="126">
        <v>18.45</v>
      </c>
      <c r="Q45" s="340">
        <f>O45+P45</f>
        <v>53</v>
      </c>
      <c r="R45" s="125">
        <v>14.95</v>
      </c>
      <c r="S45" s="126">
        <v>11.05</v>
      </c>
      <c r="T45" s="340">
        <f>R45+S45</f>
        <v>26</v>
      </c>
      <c r="U45" s="125">
        <v>42.046464646464642</v>
      </c>
      <c r="V45" s="126">
        <v>23.953535353535351</v>
      </c>
      <c r="W45" s="127">
        <f>U45+V45</f>
        <v>66</v>
      </c>
      <c r="X45" s="125">
        <v>28.269047619047623</v>
      </c>
      <c r="Y45" s="126">
        <v>19.730952380952377</v>
      </c>
      <c r="Z45" s="127">
        <f>X45+Y45</f>
        <v>48</v>
      </c>
      <c r="AA45" s="125">
        <v>138.02470210948474</v>
      </c>
      <c r="AB45" s="126">
        <v>76.975297890515264</v>
      </c>
      <c r="AC45" s="127">
        <f>AA45+AB45</f>
        <v>215</v>
      </c>
      <c r="AD45" s="325">
        <f>AD46+AD47+AD48+AD49+AD50+AD51+AD52+AD53+AD54+AD55+AD56</f>
        <v>5845</v>
      </c>
      <c r="AE45" s="325">
        <f>AE46+AE47+AE48+AE49+AE50+AE51+AE52+AE53+AE54+AE55+AE56</f>
        <v>1960</v>
      </c>
      <c r="AF45" s="325">
        <f>AD45+AE45</f>
        <v>7805</v>
      </c>
      <c r="AG45" s="289"/>
    </row>
    <row r="46" spans="2:33" ht="16.5" thickTop="1" thickBot="1" x14ac:dyDescent="0.3">
      <c r="B46" s="116" t="s">
        <v>41</v>
      </c>
      <c r="C46" s="472">
        <v>143</v>
      </c>
      <c r="D46" s="476">
        <v>34</v>
      </c>
      <c r="E46" s="130">
        <f>C46+D46</f>
        <v>177</v>
      </c>
      <c r="F46" s="472">
        <v>5</v>
      </c>
      <c r="G46" s="476">
        <v>4</v>
      </c>
      <c r="H46" s="477">
        <f t="shared" ref="H46:H57" si="5">F46+G46</f>
        <v>9</v>
      </c>
      <c r="I46" s="472">
        <v>144</v>
      </c>
      <c r="J46" s="476">
        <v>33</v>
      </c>
      <c r="K46" s="477">
        <f t="shared" ref="K46:K58" si="6">I46+J46</f>
        <v>177</v>
      </c>
      <c r="L46" s="472">
        <v>37</v>
      </c>
      <c r="M46" s="476">
        <v>33</v>
      </c>
      <c r="N46" s="477">
        <f t="shared" ref="N46:N57" si="7">L46+M46</f>
        <v>70</v>
      </c>
      <c r="O46" s="128">
        <v>0</v>
      </c>
      <c r="P46" s="129">
        <v>0</v>
      </c>
      <c r="Q46" s="477">
        <f t="shared" ref="Q46:Q58" si="8">O46+P46</f>
        <v>0</v>
      </c>
      <c r="R46" s="472">
        <v>5</v>
      </c>
      <c r="S46" s="476">
        <v>2</v>
      </c>
      <c r="T46" s="477">
        <f>R46+S46</f>
        <v>7</v>
      </c>
      <c r="U46" s="128">
        <v>0</v>
      </c>
      <c r="V46" s="129">
        <v>0</v>
      </c>
      <c r="W46" s="478">
        <f t="shared" ref="W46:W56" si="9">U46+V46</f>
        <v>0</v>
      </c>
      <c r="X46" s="128">
        <v>0</v>
      </c>
      <c r="Y46" s="129">
        <v>0</v>
      </c>
      <c r="Z46" s="478">
        <f t="shared" ref="Z46:Z57" si="10">X46+Y46</f>
        <v>0</v>
      </c>
      <c r="AA46" s="128">
        <v>0</v>
      </c>
      <c r="AB46" s="129">
        <v>0</v>
      </c>
      <c r="AC46" s="478">
        <f t="shared" ref="AC46:AC56" si="11">AA46+AB46</f>
        <v>0</v>
      </c>
      <c r="AD46" s="131">
        <f>C46+F46+I46+L46+O46+R46+U46++X46</f>
        <v>334</v>
      </c>
      <c r="AE46" s="132">
        <f>D46+G46+J46+M46+P46+S46+V46+Y46</f>
        <v>106</v>
      </c>
      <c r="AF46" s="325">
        <f t="shared" ref="AF46:AF58" si="12">AD46+AE46</f>
        <v>440</v>
      </c>
      <c r="AG46" s="289"/>
    </row>
    <row r="47" spans="2:33" ht="15.75" thickBot="1" x14ac:dyDescent="0.3">
      <c r="B47" s="118" t="s">
        <v>42</v>
      </c>
      <c r="C47" s="479">
        <v>0</v>
      </c>
      <c r="D47" s="480">
        <v>0</v>
      </c>
      <c r="E47" s="130">
        <f t="shared" ref="E47:E56" si="13">C47+D47</f>
        <v>0</v>
      </c>
      <c r="F47" s="473">
        <v>212</v>
      </c>
      <c r="G47" s="475">
        <v>77</v>
      </c>
      <c r="H47" s="477">
        <f t="shared" si="5"/>
        <v>289</v>
      </c>
      <c r="I47" s="473">
        <v>128</v>
      </c>
      <c r="J47" s="475">
        <v>208</v>
      </c>
      <c r="K47" s="477">
        <f t="shared" si="6"/>
        <v>336</v>
      </c>
      <c r="L47" s="473">
        <v>217</v>
      </c>
      <c r="M47" s="475">
        <v>74</v>
      </c>
      <c r="N47" s="477">
        <f t="shared" si="7"/>
        <v>291</v>
      </c>
      <c r="O47" s="473">
        <v>11</v>
      </c>
      <c r="P47" s="475">
        <v>5</v>
      </c>
      <c r="Q47" s="477">
        <f t="shared" si="8"/>
        <v>16</v>
      </c>
      <c r="R47" s="473">
        <v>9</v>
      </c>
      <c r="S47" s="475">
        <v>11</v>
      </c>
      <c r="T47" s="477">
        <f t="shared" ref="T47:T56" si="14">R47+S47</f>
        <v>20</v>
      </c>
      <c r="U47" s="473">
        <v>15</v>
      </c>
      <c r="V47" s="475">
        <v>4</v>
      </c>
      <c r="W47" s="478">
        <f t="shared" si="9"/>
        <v>19</v>
      </c>
      <c r="X47" s="473">
        <v>5</v>
      </c>
      <c r="Y47" s="475">
        <v>7</v>
      </c>
      <c r="Z47" s="478">
        <f t="shared" si="10"/>
        <v>12</v>
      </c>
      <c r="AA47" s="473">
        <v>22</v>
      </c>
      <c r="AB47" s="475">
        <v>33</v>
      </c>
      <c r="AC47" s="478">
        <f t="shared" si="11"/>
        <v>55</v>
      </c>
      <c r="AD47" s="131">
        <f t="shared" ref="AD47:AD58" si="15">C47+F47+I47+L47+O47+R47+U47++X47</f>
        <v>597</v>
      </c>
      <c r="AE47" s="132">
        <f t="shared" ref="AE47:AE58" si="16">D47+G47+J47+M47+P47+S47+V47+Y47</f>
        <v>386</v>
      </c>
      <c r="AF47" s="325">
        <f t="shared" si="12"/>
        <v>983</v>
      </c>
      <c r="AG47" s="289"/>
    </row>
    <row r="48" spans="2:33" ht="15.75" thickBot="1" x14ac:dyDescent="0.3">
      <c r="B48" s="118" t="s">
        <v>43</v>
      </c>
      <c r="C48" s="473">
        <v>5</v>
      </c>
      <c r="D48" s="475">
        <v>1</v>
      </c>
      <c r="E48" s="130">
        <f t="shared" si="13"/>
        <v>6</v>
      </c>
      <c r="F48" s="473">
        <v>355</v>
      </c>
      <c r="G48" s="475">
        <v>48</v>
      </c>
      <c r="H48" s="477">
        <f t="shared" si="5"/>
        <v>403</v>
      </c>
      <c r="I48" s="473">
        <v>2566</v>
      </c>
      <c r="J48" s="475">
        <v>733</v>
      </c>
      <c r="K48" s="477">
        <f t="shared" si="6"/>
        <v>3299</v>
      </c>
      <c r="L48" s="473">
        <v>756</v>
      </c>
      <c r="M48" s="475">
        <v>209</v>
      </c>
      <c r="N48" s="477">
        <f t="shared" si="7"/>
        <v>965</v>
      </c>
      <c r="O48" s="473">
        <v>31</v>
      </c>
      <c r="P48" s="475">
        <v>4</v>
      </c>
      <c r="Q48" s="477">
        <f t="shared" si="8"/>
        <v>35</v>
      </c>
      <c r="R48" s="473">
        <v>3</v>
      </c>
      <c r="S48" s="475">
        <v>7</v>
      </c>
      <c r="T48" s="477">
        <f t="shared" si="14"/>
        <v>10</v>
      </c>
      <c r="U48" s="473">
        <v>42</v>
      </c>
      <c r="V48" s="475">
        <v>25</v>
      </c>
      <c r="W48" s="478">
        <f t="shared" si="9"/>
        <v>67</v>
      </c>
      <c r="X48" s="473">
        <v>31</v>
      </c>
      <c r="Y48" s="475">
        <v>24</v>
      </c>
      <c r="Z48" s="478">
        <f t="shared" si="10"/>
        <v>55</v>
      </c>
      <c r="AA48" s="473">
        <v>15</v>
      </c>
      <c r="AB48" s="475">
        <v>17</v>
      </c>
      <c r="AC48" s="478">
        <f t="shared" si="11"/>
        <v>32</v>
      </c>
      <c r="AD48" s="131">
        <f t="shared" si="15"/>
        <v>3789</v>
      </c>
      <c r="AE48" s="132">
        <f t="shared" si="16"/>
        <v>1051</v>
      </c>
      <c r="AF48" s="325">
        <f t="shared" si="12"/>
        <v>4840</v>
      </c>
      <c r="AG48" s="289"/>
    </row>
    <row r="49" spans="2:33" ht="15.75" thickBot="1" x14ac:dyDescent="0.3">
      <c r="B49" s="118" t="s">
        <v>44</v>
      </c>
      <c r="C49" s="473">
        <v>2</v>
      </c>
      <c r="D49" s="480">
        <v>0</v>
      </c>
      <c r="E49" s="130">
        <f t="shared" si="13"/>
        <v>2</v>
      </c>
      <c r="F49" s="473">
        <v>86</v>
      </c>
      <c r="G49" s="475">
        <v>67</v>
      </c>
      <c r="H49" s="477">
        <f t="shared" si="5"/>
        <v>153</v>
      </c>
      <c r="I49" s="473">
        <v>422</v>
      </c>
      <c r="J49" s="475">
        <v>149</v>
      </c>
      <c r="K49" s="477">
        <f t="shared" si="6"/>
        <v>571</v>
      </c>
      <c r="L49" s="473">
        <v>345</v>
      </c>
      <c r="M49" s="475">
        <v>75</v>
      </c>
      <c r="N49" s="477">
        <f t="shared" si="7"/>
        <v>420</v>
      </c>
      <c r="O49" s="473">
        <v>6</v>
      </c>
      <c r="P49" s="475">
        <v>7</v>
      </c>
      <c r="Q49" s="477">
        <f t="shared" si="8"/>
        <v>13</v>
      </c>
      <c r="R49" s="133">
        <v>0</v>
      </c>
      <c r="S49" s="134">
        <v>0</v>
      </c>
      <c r="T49" s="477">
        <f t="shared" si="14"/>
        <v>0</v>
      </c>
      <c r="U49" s="133">
        <v>0</v>
      </c>
      <c r="V49" s="134">
        <v>0</v>
      </c>
      <c r="W49" s="478">
        <f t="shared" si="9"/>
        <v>0</v>
      </c>
      <c r="X49" s="473">
        <v>4</v>
      </c>
      <c r="Y49" s="134">
        <v>0</v>
      </c>
      <c r="Z49" s="478">
        <f t="shared" si="10"/>
        <v>4</v>
      </c>
      <c r="AA49" s="473">
        <v>203</v>
      </c>
      <c r="AB49" s="475">
        <v>33</v>
      </c>
      <c r="AC49" s="478">
        <f t="shared" si="11"/>
        <v>236</v>
      </c>
      <c r="AD49" s="131">
        <f t="shared" si="15"/>
        <v>865</v>
      </c>
      <c r="AE49" s="132">
        <f t="shared" si="16"/>
        <v>298</v>
      </c>
      <c r="AF49" s="325">
        <f t="shared" si="12"/>
        <v>1163</v>
      </c>
      <c r="AG49" s="289"/>
    </row>
    <row r="50" spans="2:33" ht="15.75" thickBot="1" x14ac:dyDescent="0.3">
      <c r="B50" s="118" t="s">
        <v>45</v>
      </c>
      <c r="C50" s="473">
        <v>4</v>
      </c>
      <c r="D50" s="475">
        <v>4</v>
      </c>
      <c r="E50" s="130">
        <f t="shared" si="13"/>
        <v>8</v>
      </c>
      <c r="F50" s="473">
        <v>16</v>
      </c>
      <c r="G50" s="475">
        <v>7</v>
      </c>
      <c r="H50" s="477">
        <f t="shared" si="5"/>
        <v>23</v>
      </c>
      <c r="I50" s="473">
        <v>8</v>
      </c>
      <c r="J50" s="475">
        <v>5</v>
      </c>
      <c r="K50" s="477">
        <f t="shared" si="6"/>
        <v>13</v>
      </c>
      <c r="L50" s="133">
        <v>0</v>
      </c>
      <c r="M50" s="134">
        <v>0</v>
      </c>
      <c r="N50" s="477">
        <f t="shared" si="7"/>
        <v>0</v>
      </c>
      <c r="O50" s="133">
        <v>0</v>
      </c>
      <c r="P50" s="134">
        <v>0</v>
      </c>
      <c r="Q50" s="477">
        <f t="shared" si="8"/>
        <v>0</v>
      </c>
      <c r="R50" s="133">
        <v>0</v>
      </c>
      <c r="S50" s="134">
        <v>0</v>
      </c>
      <c r="T50" s="477">
        <f t="shared" si="14"/>
        <v>0</v>
      </c>
      <c r="U50" s="133">
        <v>0</v>
      </c>
      <c r="V50" s="134">
        <v>0</v>
      </c>
      <c r="W50" s="478">
        <f t="shared" si="9"/>
        <v>0</v>
      </c>
      <c r="X50" s="133">
        <v>0</v>
      </c>
      <c r="Y50" s="134">
        <v>0</v>
      </c>
      <c r="Z50" s="478">
        <f t="shared" si="10"/>
        <v>0</v>
      </c>
      <c r="AA50" s="133">
        <v>0</v>
      </c>
      <c r="AB50" s="134">
        <v>0</v>
      </c>
      <c r="AC50" s="478">
        <f t="shared" si="11"/>
        <v>0</v>
      </c>
      <c r="AD50" s="131">
        <f t="shared" si="15"/>
        <v>28</v>
      </c>
      <c r="AE50" s="132">
        <f t="shared" si="16"/>
        <v>16</v>
      </c>
      <c r="AF50" s="325">
        <f t="shared" si="12"/>
        <v>44</v>
      </c>
      <c r="AG50" s="289"/>
    </row>
    <row r="51" spans="2:33" ht="15.75" thickBot="1" x14ac:dyDescent="0.3">
      <c r="B51" s="342" t="s">
        <v>46</v>
      </c>
      <c r="C51" s="473">
        <v>22</v>
      </c>
      <c r="D51" s="480">
        <v>0</v>
      </c>
      <c r="E51" s="130">
        <f t="shared" si="13"/>
        <v>22</v>
      </c>
      <c r="F51" s="473">
        <v>2</v>
      </c>
      <c r="G51" s="480">
        <v>0</v>
      </c>
      <c r="H51" s="477">
        <f t="shared" si="5"/>
        <v>2</v>
      </c>
      <c r="I51" s="133">
        <v>0</v>
      </c>
      <c r="J51" s="134">
        <v>0</v>
      </c>
      <c r="K51" s="477">
        <f t="shared" si="6"/>
        <v>0</v>
      </c>
      <c r="L51" s="133">
        <v>0</v>
      </c>
      <c r="M51" s="134">
        <v>0</v>
      </c>
      <c r="N51" s="477">
        <f t="shared" si="7"/>
        <v>0</v>
      </c>
      <c r="O51" s="133">
        <v>0</v>
      </c>
      <c r="P51" s="134">
        <v>0</v>
      </c>
      <c r="Q51" s="477">
        <f t="shared" si="8"/>
        <v>0</v>
      </c>
      <c r="R51" s="133">
        <v>0</v>
      </c>
      <c r="S51" s="134">
        <v>0</v>
      </c>
      <c r="T51" s="477">
        <f t="shared" si="14"/>
        <v>0</v>
      </c>
      <c r="U51" s="133">
        <v>0</v>
      </c>
      <c r="V51" s="134">
        <v>0</v>
      </c>
      <c r="W51" s="478">
        <f t="shared" si="9"/>
        <v>0</v>
      </c>
      <c r="X51" s="133">
        <v>0</v>
      </c>
      <c r="Y51" s="134">
        <v>0</v>
      </c>
      <c r="Z51" s="478">
        <f t="shared" si="10"/>
        <v>0</v>
      </c>
      <c r="AA51" s="133">
        <v>0</v>
      </c>
      <c r="AB51" s="134">
        <v>0</v>
      </c>
      <c r="AC51" s="478">
        <f t="shared" si="11"/>
        <v>0</v>
      </c>
      <c r="AD51" s="131">
        <f t="shared" si="15"/>
        <v>24</v>
      </c>
      <c r="AE51" s="132">
        <f t="shared" si="16"/>
        <v>0</v>
      </c>
      <c r="AF51" s="325">
        <f t="shared" si="12"/>
        <v>24</v>
      </c>
      <c r="AG51" s="289"/>
    </row>
    <row r="52" spans="2:33" ht="15.75" thickBot="1" x14ac:dyDescent="0.3">
      <c r="B52" s="342" t="s">
        <v>47</v>
      </c>
      <c r="C52" s="473">
        <v>42</v>
      </c>
      <c r="D52" s="475">
        <v>11</v>
      </c>
      <c r="E52" s="130">
        <f t="shared" si="13"/>
        <v>53</v>
      </c>
      <c r="F52" s="473">
        <v>35</v>
      </c>
      <c r="G52" s="475">
        <v>1</v>
      </c>
      <c r="H52" s="477">
        <f t="shared" si="5"/>
        <v>36</v>
      </c>
      <c r="I52" s="473">
        <v>15</v>
      </c>
      <c r="J52" s="475">
        <v>9</v>
      </c>
      <c r="K52" s="477">
        <f t="shared" si="6"/>
        <v>24</v>
      </c>
      <c r="L52" s="473">
        <v>9</v>
      </c>
      <c r="M52" s="475">
        <v>4</v>
      </c>
      <c r="N52" s="477">
        <f t="shared" si="7"/>
        <v>13</v>
      </c>
      <c r="O52" s="133">
        <v>0</v>
      </c>
      <c r="P52" s="134">
        <v>0</v>
      </c>
      <c r="Q52" s="477">
        <f t="shared" si="8"/>
        <v>0</v>
      </c>
      <c r="R52" s="133">
        <v>0</v>
      </c>
      <c r="S52" s="134">
        <v>0</v>
      </c>
      <c r="T52" s="477">
        <f t="shared" si="14"/>
        <v>0</v>
      </c>
      <c r="U52" s="133">
        <v>0</v>
      </c>
      <c r="V52" s="134">
        <v>0</v>
      </c>
      <c r="W52" s="478">
        <f t="shared" si="9"/>
        <v>0</v>
      </c>
      <c r="X52" s="133">
        <v>0</v>
      </c>
      <c r="Y52" s="134">
        <v>0</v>
      </c>
      <c r="Z52" s="478">
        <f t="shared" si="10"/>
        <v>0</v>
      </c>
      <c r="AA52" s="133">
        <v>0</v>
      </c>
      <c r="AB52" s="134">
        <v>0</v>
      </c>
      <c r="AC52" s="478">
        <f t="shared" si="11"/>
        <v>0</v>
      </c>
      <c r="AD52" s="131">
        <f t="shared" si="15"/>
        <v>101</v>
      </c>
      <c r="AE52" s="132">
        <f t="shared" si="16"/>
        <v>25</v>
      </c>
      <c r="AF52" s="325">
        <f t="shared" si="12"/>
        <v>126</v>
      </c>
      <c r="AG52" s="289"/>
    </row>
    <row r="53" spans="2:33" ht="15.75" thickBot="1" x14ac:dyDescent="0.3">
      <c r="B53" s="342" t="s">
        <v>48</v>
      </c>
      <c r="C53" s="473">
        <v>19</v>
      </c>
      <c r="D53" s="475">
        <v>26</v>
      </c>
      <c r="E53" s="130">
        <f t="shared" si="13"/>
        <v>45</v>
      </c>
      <c r="F53" s="133">
        <v>0</v>
      </c>
      <c r="G53" s="134">
        <v>0</v>
      </c>
      <c r="H53" s="477">
        <f t="shared" si="5"/>
        <v>0</v>
      </c>
      <c r="I53" s="133">
        <v>0</v>
      </c>
      <c r="J53" s="134">
        <v>0</v>
      </c>
      <c r="K53" s="477">
        <f t="shared" si="6"/>
        <v>0</v>
      </c>
      <c r="L53" s="133">
        <v>0</v>
      </c>
      <c r="M53" s="134">
        <v>0</v>
      </c>
      <c r="N53" s="477">
        <f t="shared" si="7"/>
        <v>0</v>
      </c>
      <c r="O53" s="133">
        <v>0</v>
      </c>
      <c r="P53" s="134">
        <v>0</v>
      </c>
      <c r="Q53" s="477">
        <f t="shared" si="8"/>
        <v>0</v>
      </c>
      <c r="R53" s="133">
        <v>0</v>
      </c>
      <c r="S53" s="134">
        <v>0</v>
      </c>
      <c r="T53" s="477">
        <f t="shared" si="14"/>
        <v>0</v>
      </c>
      <c r="U53" s="133">
        <v>0</v>
      </c>
      <c r="V53" s="134">
        <v>0</v>
      </c>
      <c r="W53" s="478">
        <f t="shared" si="9"/>
        <v>0</v>
      </c>
      <c r="X53" s="133">
        <v>0</v>
      </c>
      <c r="Y53" s="134">
        <v>0</v>
      </c>
      <c r="Z53" s="478">
        <f t="shared" si="10"/>
        <v>0</v>
      </c>
      <c r="AA53" s="133">
        <v>0</v>
      </c>
      <c r="AB53" s="134">
        <v>0</v>
      </c>
      <c r="AC53" s="478">
        <f t="shared" si="11"/>
        <v>0</v>
      </c>
      <c r="AD53" s="131">
        <f t="shared" si="15"/>
        <v>19</v>
      </c>
      <c r="AE53" s="132">
        <f t="shared" si="16"/>
        <v>26</v>
      </c>
      <c r="AF53" s="325">
        <f t="shared" si="12"/>
        <v>45</v>
      </c>
      <c r="AG53" s="289"/>
    </row>
    <row r="54" spans="2:33" ht="15.75" thickBot="1" x14ac:dyDescent="0.3">
      <c r="B54" s="342" t="s">
        <v>49</v>
      </c>
      <c r="C54" s="479">
        <v>0</v>
      </c>
      <c r="D54" s="480">
        <v>0</v>
      </c>
      <c r="E54" s="130">
        <f t="shared" si="13"/>
        <v>0</v>
      </c>
      <c r="F54" s="133">
        <v>0</v>
      </c>
      <c r="G54" s="134">
        <v>0</v>
      </c>
      <c r="H54" s="477">
        <f t="shared" si="5"/>
        <v>0</v>
      </c>
      <c r="I54" s="133">
        <v>0</v>
      </c>
      <c r="J54" s="134">
        <v>0</v>
      </c>
      <c r="K54" s="477">
        <f t="shared" si="6"/>
        <v>0</v>
      </c>
      <c r="L54" s="133">
        <v>0</v>
      </c>
      <c r="M54" s="134">
        <v>0</v>
      </c>
      <c r="N54" s="477">
        <f t="shared" si="7"/>
        <v>0</v>
      </c>
      <c r="O54" s="133">
        <v>0</v>
      </c>
      <c r="P54" s="134">
        <v>0</v>
      </c>
      <c r="Q54" s="477">
        <f t="shared" si="8"/>
        <v>0</v>
      </c>
      <c r="R54" s="133">
        <v>0</v>
      </c>
      <c r="S54" s="134">
        <v>0</v>
      </c>
      <c r="T54" s="477">
        <f t="shared" si="14"/>
        <v>0</v>
      </c>
      <c r="U54" s="133">
        <v>0</v>
      </c>
      <c r="V54" s="134">
        <v>0</v>
      </c>
      <c r="W54" s="478">
        <f t="shared" si="9"/>
        <v>0</v>
      </c>
      <c r="X54" s="133">
        <v>0</v>
      </c>
      <c r="Y54" s="134">
        <v>0</v>
      </c>
      <c r="Z54" s="478">
        <f t="shared" si="10"/>
        <v>0</v>
      </c>
      <c r="AA54" s="133">
        <v>0</v>
      </c>
      <c r="AB54" s="134">
        <v>0</v>
      </c>
      <c r="AC54" s="478">
        <f t="shared" si="11"/>
        <v>0</v>
      </c>
      <c r="AD54" s="131">
        <f t="shared" si="15"/>
        <v>0</v>
      </c>
      <c r="AE54" s="132">
        <f t="shared" si="16"/>
        <v>0</v>
      </c>
      <c r="AF54" s="325">
        <f t="shared" si="12"/>
        <v>0</v>
      </c>
      <c r="AG54" s="289"/>
    </row>
    <row r="55" spans="2:33" ht="15.75" thickBot="1" x14ac:dyDescent="0.3">
      <c r="B55" s="342" t="s">
        <v>50</v>
      </c>
      <c r="C55" s="479">
        <v>0</v>
      </c>
      <c r="D55" s="480">
        <v>0</v>
      </c>
      <c r="E55" s="130">
        <f t="shared" si="13"/>
        <v>0</v>
      </c>
      <c r="F55" s="133">
        <v>0</v>
      </c>
      <c r="G55" s="134">
        <v>0</v>
      </c>
      <c r="H55" s="477">
        <f t="shared" si="5"/>
        <v>0</v>
      </c>
      <c r="I55" s="133">
        <v>0</v>
      </c>
      <c r="J55" s="134">
        <v>0</v>
      </c>
      <c r="K55" s="477">
        <f t="shared" si="6"/>
        <v>0</v>
      </c>
      <c r="L55" s="133">
        <v>0</v>
      </c>
      <c r="M55" s="134">
        <v>0</v>
      </c>
      <c r="N55" s="477">
        <f t="shared" si="7"/>
        <v>0</v>
      </c>
      <c r="O55" s="133">
        <v>0</v>
      </c>
      <c r="P55" s="134">
        <v>0</v>
      </c>
      <c r="Q55" s="477">
        <f t="shared" si="8"/>
        <v>0</v>
      </c>
      <c r="R55" s="133">
        <v>0</v>
      </c>
      <c r="S55" s="134">
        <v>0</v>
      </c>
      <c r="T55" s="477">
        <f t="shared" si="14"/>
        <v>0</v>
      </c>
      <c r="U55" s="133">
        <v>0</v>
      </c>
      <c r="V55" s="134">
        <v>0</v>
      </c>
      <c r="W55" s="478">
        <f t="shared" si="9"/>
        <v>0</v>
      </c>
      <c r="X55" s="133">
        <v>0</v>
      </c>
      <c r="Y55" s="134">
        <v>0</v>
      </c>
      <c r="Z55" s="478">
        <f t="shared" si="10"/>
        <v>0</v>
      </c>
      <c r="AA55" s="133">
        <v>0</v>
      </c>
      <c r="AB55" s="134">
        <v>0</v>
      </c>
      <c r="AC55" s="478">
        <f t="shared" si="11"/>
        <v>0</v>
      </c>
      <c r="AD55" s="131">
        <f t="shared" si="15"/>
        <v>0</v>
      </c>
      <c r="AE55" s="132">
        <f t="shared" si="16"/>
        <v>0</v>
      </c>
      <c r="AF55" s="325">
        <f t="shared" si="12"/>
        <v>0</v>
      </c>
      <c r="AG55" s="289"/>
    </row>
    <row r="56" spans="2:33" ht="15.75" thickBot="1" x14ac:dyDescent="0.3">
      <c r="B56" s="343" t="s">
        <v>51</v>
      </c>
      <c r="C56" s="481">
        <v>0</v>
      </c>
      <c r="D56" s="482">
        <v>0</v>
      </c>
      <c r="E56" s="130">
        <f t="shared" si="13"/>
        <v>0</v>
      </c>
      <c r="F56" s="136">
        <v>0</v>
      </c>
      <c r="G56" s="137">
        <v>0</v>
      </c>
      <c r="H56" s="477">
        <f t="shared" si="5"/>
        <v>0</v>
      </c>
      <c r="I56" s="136">
        <v>0</v>
      </c>
      <c r="J56" s="137">
        <v>0</v>
      </c>
      <c r="K56" s="477">
        <f t="shared" si="6"/>
        <v>0</v>
      </c>
      <c r="L56" s="484">
        <v>88</v>
      </c>
      <c r="M56" s="485">
        <v>52</v>
      </c>
      <c r="N56" s="477">
        <f t="shared" si="7"/>
        <v>140</v>
      </c>
      <c r="O56" s="136">
        <v>0</v>
      </c>
      <c r="P56" s="137">
        <v>0</v>
      </c>
      <c r="Q56" s="477">
        <f t="shared" si="8"/>
        <v>0</v>
      </c>
      <c r="R56" s="136">
        <v>0</v>
      </c>
      <c r="S56" s="137">
        <v>0</v>
      </c>
      <c r="T56" s="477">
        <f t="shared" si="14"/>
        <v>0</v>
      </c>
      <c r="U56" s="136">
        <v>0</v>
      </c>
      <c r="V56" s="137">
        <v>0</v>
      </c>
      <c r="W56" s="478">
        <f t="shared" si="9"/>
        <v>0</v>
      </c>
      <c r="X56" s="136">
        <v>0</v>
      </c>
      <c r="Y56" s="137">
        <v>0</v>
      </c>
      <c r="Z56" s="478">
        <f t="shared" si="10"/>
        <v>0</v>
      </c>
      <c r="AA56" s="136">
        <v>0</v>
      </c>
      <c r="AB56" s="137">
        <v>0</v>
      </c>
      <c r="AC56" s="478">
        <f t="shared" si="11"/>
        <v>0</v>
      </c>
      <c r="AD56" s="131">
        <f t="shared" si="15"/>
        <v>88</v>
      </c>
      <c r="AE56" s="132">
        <f t="shared" si="16"/>
        <v>52</v>
      </c>
      <c r="AF56" s="325">
        <f t="shared" si="12"/>
        <v>140</v>
      </c>
      <c r="AG56" s="289"/>
    </row>
    <row r="57" spans="2:33" ht="16.5" thickTop="1" thickBot="1" x14ac:dyDescent="0.3">
      <c r="B57" s="115" t="s">
        <v>136</v>
      </c>
      <c r="C57" s="483">
        <v>0</v>
      </c>
      <c r="D57" s="474">
        <v>97</v>
      </c>
      <c r="E57" s="130">
        <f>C57+D57</f>
        <v>97</v>
      </c>
      <c r="F57" s="125">
        <v>0</v>
      </c>
      <c r="G57" s="474">
        <v>889</v>
      </c>
      <c r="H57" s="340">
        <f t="shared" si="5"/>
        <v>889</v>
      </c>
      <c r="I57" s="125">
        <v>0</v>
      </c>
      <c r="J57" s="474">
        <v>6899</v>
      </c>
      <c r="K57" s="340">
        <f t="shared" si="6"/>
        <v>6899</v>
      </c>
      <c r="L57" s="486">
        <v>4</v>
      </c>
      <c r="M57" s="474">
        <v>3508</v>
      </c>
      <c r="N57" s="340">
        <f t="shared" si="7"/>
        <v>3512</v>
      </c>
      <c r="O57" s="125">
        <v>0</v>
      </c>
      <c r="P57" s="474">
        <v>204</v>
      </c>
      <c r="Q57" s="340">
        <f t="shared" si="8"/>
        <v>204</v>
      </c>
      <c r="R57" s="125">
        <v>0</v>
      </c>
      <c r="S57" s="474">
        <v>93</v>
      </c>
      <c r="T57" s="127">
        <v>117</v>
      </c>
      <c r="U57" s="125">
        <v>0</v>
      </c>
      <c r="V57" s="474">
        <v>206</v>
      </c>
      <c r="W57" s="127">
        <v>192</v>
      </c>
      <c r="X57" s="125">
        <v>0</v>
      </c>
      <c r="Y57" s="474">
        <v>133</v>
      </c>
      <c r="Z57" s="127">
        <f t="shared" si="10"/>
        <v>133</v>
      </c>
      <c r="AA57" s="125">
        <v>0</v>
      </c>
      <c r="AB57" s="474">
        <v>2453</v>
      </c>
      <c r="AC57" s="127">
        <f>AA57+AB57</f>
        <v>2453</v>
      </c>
      <c r="AD57" s="131">
        <f t="shared" si="15"/>
        <v>4</v>
      </c>
      <c r="AE57" s="132">
        <f t="shared" si="16"/>
        <v>12029</v>
      </c>
      <c r="AF57" s="325">
        <f t="shared" si="12"/>
        <v>12033</v>
      </c>
      <c r="AG57" s="289"/>
    </row>
    <row r="58" spans="2:33" ht="16.5" thickTop="1" thickBot="1" x14ac:dyDescent="0.3">
      <c r="B58" s="344" t="s">
        <v>137</v>
      </c>
      <c r="C58" s="345">
        <v>0</v>
      </c>
      <c r="D58" s="346">
        <v>0</v>
      </c>
      <c r="E58" s="347">
        <v>0</v>
      </c>
      <c r="F58" s="345">
        <v>0</v>
      </c>
      <c r="G58" s="346">
        <v>3</v>
      </c>
      <c r="H58" s="340">
        <f>F58+G58</f>
        <v>3</v>
      </c>
      <c r="I58" s="345">
        <v>0</v>
      </c>
      <c r="J58" s="346">
        <v>7</v>
      </c>
      <c r="K58" s="340">
        <f t="shared" si="6"/>
        <v>7</v>
      </c>
      <c r="L58" s="487">
        <v>230</v>
      </c>
      <c r="M58" s="488">
        <v>211</v>
      </c>
      <c r="N58" s="347">
        <v>275.99999999999966</v>
      </c>
      <c r="O58" s="345">
        <v>0</v>
      </c>
      <c r="P58" s="488">
        <v>55</v>
      </c>
      <c r="Q58" s="340">
        <f t="shared" si="8"/>
        <v>55</v>
      </c>
      <c r="R58" s="345">
        <v>0</v>
      </c>
      <c r="S58" s="488">
        <v>55</v>
      </c>
      <c r="T58" s="347">
        <v>26</v>
      </c>
      <c r="U58" s="345">
        <v>0</v>
      </c>
      <c r="V58" s="488">
        <v>22</v>
      </c>
      <c r="W58" s="347">
        <v>19</v>
      </c>
      <c r="X58" s="345">
        <v>0</v>
      </c>
      <c r="Y58" s="488">
        <v>41</v>
      </c>
      <c r="Z58" s="347">
        <v>25</v>
      </c>
      <c r="AA58" s="487">
        <v>2</v>
      </c>
      <c r="AB58" s="488">
        <v>8</v>
      </c>
      <c r="AC58" s="347">
        <v>11</v>
      </c>
      <c r="AD58" s="131">
        <f t="shared" si="15"/>
        <v>230</v>
      </c>
      <c r="AE58" s="132">
        <f t="shared" si="16"/>
        <v>394</v>
      </c>
      <c r="AF58" s="325">
        <f t="shared" si="12"/>
        <v>624</v>
      </c>
      <c r="AG58" s="289"/>
    </row>
    <row r="59" spans="2:33" ht="15.75" thickBot="1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2:33" x14ac:dyDescent="0.25">
      <c r="B60" s="108" t="s">
        <v>138</v>
      </c>
      <c r="C60" s="348">
        <v>2009</v>
      </c>
      <c r="D60" s="349">
        <v>2009</v>
      </c>
      <c r="E60" s="549" t="s">
        <v>212</v>
      </c>
      <c r="F60" s="348">
        <v>2010</v>
      </c>
      <c r="G60" s="349">
        <v>2010</v>
      </c>
      <c r="H60" s="549" t="s">
        <v>213</v>
      </c>
      <c r="I60" s="348">
        <v>2011</v>
      </c>
      <c r="J60" s="349">
        <v>2011</v>
      </c>
      <c r="K60" s="549" t="s">
        <v>214</v>
      </c>
      <c r="L60" s="348">
        <v>2012</v>
      </c>
      <c r="M60" s="349">
        <v>2012</v>
      </c>
      <c r="N60" s="549" t="s">
        <v>215</v>
      </c>
      <c r="O60" s="348">
        <v>2013</v>
      </c>
      <c r="P60" s="349">
        <v>2013</v>
      </c>
      <c r="Q60" s="549" t="s">
        <v>140</v>
      </c>
      <c r="R60" s="348">
        <v>2014</v>
      </c>
      <c r="S60" s="349">
        <v>2014</v>
      </c>
      <c r="T60" s="549" t="s">
        <v>216</v>
      </c>
      <c r="U60" s="348">
        <v>2015</v>
      </c>
      <c r="V60" s="349">
        <v>2015</v>
      </c>
      <c r="W60" s="549" t="s">
        <v>217</v>
      </c>
      <c r="X60" s="348">
        <v>2016</v>
      </c>
      <c r="Y60" s="349">
        <v>2016</v>
      </c>
      <c r="Z60" s="549" t="s">
        <v>218</v>
      </c>
      <c r="AA60" s="348">
        <v>2017</v>
      </c>
      <c r="AB60" s="349">
        <v>2017</v>
      </c>
      <c r="AC60" s="549" t="s">
        <v>219</v>
      </c>
      <c r="AD60" s="551" t="s">
        <v>39</v>
      </c>
      <c r="AE60" s="552"/>
      <c r="AF60" s="547" t="s">
        <v>40</v>
      </c>
    </row>
    <row r="61" spans="2:33" ht="15.75" thickBot="1" x14ac:dyDescent="0.3">
      <c r="B61"/>
      <c r="C61" s="350" t="s">
        <v>36</v>
      </c>
      <c r="D61" s="351" t="s">
        <v>37</v>
      </c>
      <c r="E61" s="550"/>
      <c r="F61" s="350" t="s">
        <v>36</v>
      </c>
      <c r="G61" s="351" t="s">
        <v>37</v>
      </c>
      <c r="H61" s="550"/>
      <c r="I61" s="350" t="s">
        <v>36</v>
      </c>
      <c r="J61" s="351" t="s">
        <v>37</v>
      </c>
      <c r="K61" s="550"/>
      <c r="L61" s="350" t="s">
        <v>36</v>
      </c>
      <c r="M61" s="351" t="s">
        <v>37</v>
      </c>
      <c r="N61" s="550"/>
      <c r="O61" s="350" t="s">
        <v>36</v>
      </c>
      <c r="P61" s="351" t="s">
        <v>37</v>
      </c>
      <c r="Q61" s="550"/>
      <c r="R61" s="350" t="s">
        <v>36</v>
      </c>
      <c r="S61" s="351" t="s">
        <v>37</v>
      </c>
      <c r="T61" s="550"/>
      <c r="U61" s="350" t="s">
        <v>36</v>
      </c>
      <c r="V61" s="351" t="s">
        <v>37</v>
      </c>
      <c r="W61" s="550"/>
      <c r="X61" s="350" t="s">
        <v>36</v>
      </c>
      <c r="Y61" s="351" t="s">
        <v>37</v>
      </c>
      <c r="Z61" s="550"/>
      <c r="AA61" s="350" t="s">
        <v>36</v>
      </c>
      <c r="AB61" s="351" t="s">
        <v>37</v>
      </c>
      <c r="AC61" s="550"/>
      <c r="AD61" s="113" t="s">
        <v>36</v>
      </c>
      <c r="AE61" s="114" t="s">
        <v>37</v>
      </c>
      <c r="AF61" s="548" t="s">
        <v>3</v>
      </c>
    </row>
    <row r="62" spans="2:33" ht="15.75" thickBot="1" x14ac:dyDescent="0.3">
      <c r="B62" s="115" t="s">
        <v>135</v>
      </c>
      <c r="C62" s="489">
        <v>107</v>
      </c>
      <c r="D62" s="490">
        <v>107</v>
      </c>
      <c r="E62" s="490">
        <v>107</v>
      </c>
      <c r="F62" s="489">
        <v>433.52</v>
      </c>
      <c r="G62" s="489">
        <v>433.52</v>
      </c>
      <c r="H62" s="489">
        <v>433.52</v>
      </c>
      <c r="I62" s="489">
        <v>577.36</v>
      </c>
      <c r="J62" s="489">
        <v>577.36</v>
      </c>
      <c r="K62" s="489">
        <v>577.36</v>
      </c>
      <c r="L62" s="489">
        <v>209.33</v>
      </c>
      <c r="M62" s="489">
        <v>209.33</v>
      </c>
      <c r="N62" s="489">
        <v>209.33</v>
      </c>
      <c r="O62" s="489">
        <v>313.14999999999998</v>
      </c>
      <c r="P62" s="489">
        <v>313.14999999999998</v>
      </c>
      <c r="Q62" s="489">
        <v>313.14999999999998</v>
      </c>
      <c r="R62" s="489">
        <v>369.15</v>
      </c>
      <c r="S62" s="489">
        <v>369.15</v>
      </c>
      <c r="T62" s="489">
        <v>369.15</v>
      </c>
      <c r="U62" s="489">
        <v>222.14</v>
      </c>
      <c r="V62" s="489">
        <v>222.14</v>
      </c>
      <c r="W62" s="489">
        <v>222.14</v>
      </c>
      <c r="X62" s="489">
        <v>255.16</v>
      </c>
      <c r="Y62" s="489">
        <v>255.16</v>
      </c>
      <c r="Z62" s="489">
        <v>255.16</v>
      </c>
      <c r="AA62" s="489">
        <v>522.30999999999995</v>
      </c>
      <c r="AB62" s="489">
        <v>522.30999999999995</v>
      </c>
      <c r="AC62" s="489">
        <v>522.30999999999995</v>
      </c>
      <c r="AD62" s="496">
        <v>555.35</v>
      </c>
      <c r="AE62" s="497">
        <v>488.66</v>
      </c>
      <c r="AF62" s="496">
        <v>555.35</v>
      </c>
    </row>
    <row r="63" spans="2:33" ht="15.75" thickTop="1" x14ac:dyDescent="0.25">
      <c r="B63" s="116" t="s">
        <v>41</v>
      </c>
      <c r="C63" s="491">
        <v>223.54</v>
      </c>
      <c r="D63" s="492">
        <v>223.54</v>
      </c>
      <c r="E63" s="492">
        <v>223.54</v>
      </c>
      <c r="F63" s="491">
        <v>189.13</v>
      </c>
      <c r="G63" s="491">
        <v>189.13</v>
      </c>
      <c r="H63" s="491">
        <v>189.13</v>
      </c>
      <c r="I63" s="491">
        <v>166.15</v>
      </c>
      <c r="J63" s="491">
        <v>166.15</v>
      </c>
      <c r="K63" s="491">
        <v>166.15</v>
      </c>
      <c r="L63" s="491">
        <v>138.56</v>
      </c>
      <c r="M63" s="491">
        <v>138.56</v>
      </c>
      <c r="N63" s="491">
        <v>138.56</v>
      </c>
      <c r="O63" s="358">
        <v>0</v>
      </c>
      <c r="P63" s="358">
        <v>0</v>
      </c>
      <c r="Q63" s="358">
        <v>0</v>
      </c>
      <c r="R63" s="491">
        <v>216.13</v>
      </c>
      <c r="S63" s="491">
        <v>216.13</v>
      </c>
      <c r="T63" s="491">
        <v>216.13</v>
      </c>
      <c r="U63" s="358">
        <v>0</v>
      </c>
      <c r="V63" s="358">
        <v>0</v>
      </c>
      <c r="W63" s="358">
        <v>0</v>
      </c>
      <c r="X63" s="358">
        <v>0</v>
      </c>
      <c r="Y63" s="358">
        <v>0</v>
      </c>
      <c r="Z63" s="358">
        <v>0</v>
      </c>
      <c r="AA63" s="358">
        <v>0</v>
      </c>
      <c r="AB63" s="358">
        <v>0</v>
      </c>
      <c r="AC63" s="358">
        <v>0</v>
      </c>
      <c r="AD63" s="493">
        <v>203.14</v>
      </c>
      <c r="AE63" s="494">
        <v>176.22</v>
      </c>
      <c r="AF63" s="493">
        <v>203.14</v>
      </c>
    </row>
    <row r="64" spans="2:33" x14ac:dyDescent="0.25">
      <c r="B64" s="118" t="s">
        <v>42</v>
      </c>
      <c r="C64" s="493">
        <v>0</v>
      </c>
      <c r="D64" s="494">
        <v>0</v>
      </c>
      <c r="E64" s="494">
        <v>0</v>
      </c>
      <c r="F64" s="493">
        <v>193.15</v>
      </c>
      <c r="G64" s="493">
        <v>193.15</v>
      </c>
      <c r="H64" s="493">
        <v>193.15</v>
      </c>
      <c r="I64" s="493">
        <v>189.16</v>
      </c>
      <c r="J64" s="493">
        <v>189.16</v>
      </c>
      <c r="K64" s="493">
        <v>189.16</v>
      </c>
      <c r="L64" s="493">
        <v>306.13</v>
      </c>
      <c r="M64" s="493">
        <v>306.13</v>
      </c>
      <c r="N64" s="493">
        <v>306.13</v>
      </c>
      <c r="O64" s="493">
        <v>206.54</v>
      </c>
      <c r="P64" s="493">
        <v>206.54</v>
      </c>
      <c r="Q64" s="493">
        <v>206.54</v>
      </c>
      <c r="R64" s="493">
        <v>116.31</v>
      </c>
      <c r="S64" s="493">
        <v>116.31</v>
      </c>
      <c r="T64" s="493">
        <v>116.31</v>
      </c>
      <c r="U64" s="493">
        <v>203.66</v>
      </c>
      <c r="V64" s="493">
        <v>203.66</v>
      </c>
      <c r="W64" s="493">
        <v>203.66</v>
      </c>
      <c r="X64" s="493">
        <v>119.53</v>
      </c>
      <c r="Y64" s="493">
        <v>119.53</v>
      </c>
      <c r="Z64" s="493">
        <v>119.53</v>
      </c>
      <c r="AA64" s="493">
        <v>327.14999999999998</v>
      </c>
      <c r="AB64" s="493">
        <v>327.14999999999998</v>
      </c>
      <c r="AC64" s="493">
        <v>327.14999999999998</v>
      </c>
      <c r="AD64" s="493">
        <v>313.22000000000003</v>
      </c>
      <c r="AE64" s="494">
        <v>199.66</v>
      </c>
      <c r="AF64" s="493">
        <v>313.22000000000003</v>
      </c>
    </row>
    <row r="65" spans="2:37" x14ac:dyDescent="0.25">
      <c r="B65" s="118" t="s">
        <v>43</v>
      </c>
      <c r="C65" s="493">
        <v>412.53</v>
      </c>
      <c r="D65" s="494">
        <v>412.53</v>
      </c>
      <c r="E65" s="494">
        <v>412.53</v>
      </c>
      <c r="F65" s="493">
        <v>325.14</v>
      </c>
      <c r="G65" s="493">
        <v>325.14</v>
      </c>
      <c r="H65" s="493">
        <v>325.14</v>
      </c>
      <c r="I65" s="493">
        <v>563.17999999999995</v>
      </c>
      <c r="J65" s="493">
        <v>563.17999999999995</v>
      </c>
      <c r="K65" s="493">
        <v>563.17999999999995</v>
      </c>
      <c r="L65" s="493">
        <v>214.68</v>
      </c>
      <c r="M65" s="493">
        <v>214.68</v>
      </c>
      <c r="N65" s="493">
        <v>214.68</v>
      </c>
      <c r="O65" s="493">
        <v>237.55</v>
      </c>
      <c r="P65" s="493">
        <v>237.55</v>
      </c>
      <c r="Q65" s="493">
        <v>237.55</v>
      </c>
      <c r="R65" s="493">
        <v>299.18</v>
      </c>
      <c r="S65" s="493">
        <v>299.18</v>
      </c>
      <c r="T65" s="493">
        <v>299.18</v>
      </c>
      <c r="U65" s="493">
        <v>433.15</v>
      </c>
      <c r="V65" s="493">
        <v>433.15</v>
      </c>
      <c r="W65" s="493">
        <v>433.15</v>
      </c>
      <c r="X65" s="493">
        <v>436.21</v>
      </c>
      <c r="Y65" s="493">
        <v>436.21</v>
      </c>
      <c r="Z65" s="493">
        <v>436.21</v>
      </c>
      <c r="AA65" s="493">
        <v>633.15</v>
      </c>
      <c r="AB65" s="493">
        <v>633.15</v>
      </c>
      <c r="AC65" s="493">
        <v>633.15</v>
      </c>
      <c r="AD65" s="493">
        <v>503.66</v>
      </c>
      <c r="AE65" s="494">
        <v>403.19</v>
      </c>
      <c r="AF65" s="493">
        <v>503.66</v>
      </c>
    </row>
    <row r="66" spans="2:37" x14ac:dyDescent="0.25">
      <c r="B66" s="118" t="s">
        <v>44</v>
      </c>
      <c r="C66" s="493">
        <v>586.33000000000004</v>
      </c>
      <c r="D66" s="494">
        <v>586.33000000000004</v>
      </c>
      <c r="E66" s="494">
        <v>586.33000000000004</v>
      </c>
      <c r="F66" s="493">
        <v>655.34</v>
      </c>
      <c r="G66" s="493">
        <v>655.34</v>
      </c>
      <c r="H66" s="493">
        <v>655.34</v>
      </c>
      <c r="I66" s="493">
        <v>745.16</v>
      </c>
      <c r="J66" s="493">
        <v>745.16</v>
      </c>
      <c r="K66" s="493">
        <v>745.16</v>
      </c>
      <c r="L66" s="493">
        <v>609.11</v>
      </c>
      <c r="M66" s="493">
        <v>609.11</v>
      </c>
      <c r="N66" s="493">
        <v>609.11</v>
      </c>
      <c r="O66" s="493">
        <v>455.33</v>
      </c>
      <c r="P66" s="493">
        <v>455.33</v>
      </c>
      <c r="Q66" s="493">
        <v>455.33</v>
      </c>
      <c r="R66" s="361">
        <v>0</v>
      </c>
      <c r="S66" s="361">
        <v>0</v>
      </c>
      <c r="T66" s="361">
        <v>0</v>
      </c>
      <c r="U66" s="493">
        <v>671.13</v>
      </c>
      <c r="V66" s="493">
        <v>671.13</v>
      </c>
      <c r="W66" s="493">
        <v>671.13</v>
      </c>
      <c r="X66" s="493">
        <v>631.54999999999995</v>
      </c>
      <c r="Y66" s="493">
        <v>631.54999999999995</v>
      </c>
      <c r="Z66" s="493">
        <v>631.54999999999995</v>
      </c>
      <c r="AA66" s="493">
        <v>815.33</v>
      </c>
      <c r="AB66" s="493">
        <v>815.33</v>
      </c>
      <c r="AC66" s="493">
        <v>815.33</v>
      </c>
      <c r="AD66" s="493">
        <v>722.31</v>
      </c>
      <c r="AE66" s="494">
        <v>722.99</v>
      </c>
      <c r="AF66" s="493">
        <v>722.31</v>
      </c>
    </row>
    <row r="67" spans="2:37" x14ac:dyDescent="0.25">
      <c r="B67" s="118" t="s">
        <v>45</v>
      </c>
      <c r="C67" s="493">
        <v>836.12</v>
      </c>
      <c r="D67" s="494">
        <v>836.12</v>
      </c>
      <c r="E67" s="494">
        <v>836.12</v>
      </c>
      <c r="F67" s="493">
        <v>786.55</v>
      </c>
      <c r="G67" s="493">
        <v>786.55</v>
      </c>
      <c r="H67" s="493">
        <v>786.55</v>
      </c>
      <c r="I67" s="493">
        <v>533.19000000000005</v>
      </c>
      <c r="J67" s="493">
        <v>533.19000000000005</v>
      </c>
      <c r="K67" s="493">
        <v>533.19000000000005</v>
      </c>
      <c r="L67" s="493">
        <v>743.16</v>
      </c>
      <c r="M67" s="493">
        <v>743.16</v>
      </c>
      <c r="N67" s="493">
        <v>743.16</v>
      </c>
      <c r="O67" s="361">
        <v>0</v>
      </c>
      <c r="P67" s="361">
        <v>0</v>
      </c>
      <c r="Q67" s="361">
        <v>0</v>
      </c>
      <c r="R67" s="361">
        <v>0</v>
      </c>
      <c r="S67" s="361">
        <v>0</v>
      </c>
      <c r="T67" s="361">
        <v>0</v>
      </c>
      <c r="U67" s="361">
        <v>0</v>
      </c>
      <c r="V67" s="361">
        <v>0</v>
      </c>
      <c r="W67" s="361">
        <v>0</v>
      </c>
      <c r="X67" s="361">
        <v>0</v>
      </c>
      <c r="Y67" s="361">
        <v>0</v>
      </c>
      <c r="Z67" s="361">
        <v>0</v>
      </c>
      <c r="AA67" s="361">
        <v>0</v>
      </c>
      <c r="AB67" s="361">
        <v>0</v>
      </c>
      <c r="AC67" s="361">
        <v>0</v>
      </c>
      <c r="AD67" s="493">
        <v>903.66</v>
      </c>
      <c r="AE67" s="494">
        <v>902.66</v>
      </c>
      <c r="AF67" s="493">
        <v>903.66</v>
      </c>
    </row>
    <row r="68" spans="2:37" ht="15.75" thickBot="1" x14ac:dyDescent="0.3">
      <c r="B68" s="328" t="s">
        <v>46</v>
      </c>
      <c r="C68" s="493">
        <v>313.13</v>
      </c>
      <c r="D68" s="493">
        <v>313.13</v>
      </c>
      <c r="E68" s="493">
        <v>313.13</v>
      </c>
      <c r="F68" s="493">
        <v>422.15</v>
      </c>
      <c r="G68" s="493">
        <v>422.15</v>
      </c>
      <c r="H68" s="493">
        <v>422.15</v>
      </c>
      <c r="I68" s="493">
        <v>503.13</v>
      </c>
      <c r="J68" s="493">
        <v>503.13</v>
      </c>
      <c r="K68" s="493">
        <v>503.13</v>
      </c>
      <c r="L68" s="495">
        <v>209.33</v>
      </c>
      <c r="M68" s="495">
        <v>209.33</v>
      </c>
      <c r="N68" s="495">
        <v>209.33</v>
      </c>
      <c r="O68" s="495">
        <v>155.13</v>
      </c>
      <c r="P68" s="495">
        <v>155.13</v>
      </c>
      <c r="Q68" s="495">
        <v>155.13</v>
      </c>
      <c r="R68" s="495">
        <v>122.33</v>
      </c>
      <c r="S68" s="495">
        <v>122.33</v>
      </c>
      <c r="T68" s="495">
        <v>122.33</v>
      </c>
      <c r="U68" s="495">
        <v>133.55000000000001</v>
      </c>
      <c r="V68" s="495">
        <v>133.55000000000001</v>
      </c>
      <c r="W68" s="495">
        <v>133.55000000000001</v>
      </c>
      <c r="X68" s="495">
        <v>411.19</v>
      </c>
      <c r="Y68" s="495">
        <v>411.19</v>
      </c>
      <c r="Z68" s="495">
        <v>411.19</v>
      </c>
      <c r="AA68" s="495">
        <v>533.66</v>
      </c>
      <c r="AB68" s="495">
        <v>533.66</v>
      </c>
      <c r="AC68" s="495">
        <v>533.66</v>
      </c>
      <c r="AD68" s="493">
        <v>405.14</v>
      </c>
      <c r="AE68" s="494">
        <v>0</v>
      </c>
      <c r="AF68" s="493">
        <v>405.14</v>
      </c>
    </row>
    <row r="69" spans="2:37" ht="16.5" thickTop="1" thickBot="1" x14ac:dyDescent="0.3">
      <c r="B69" s="328" t="s">
        <v>47</v>
      </c>
      <c r="C69" s="493">
        <v>313.13</v>
      </c>
      <c r="D69" s="493">
        <v>313.13</v>
      </c>
      <c r="E69" s="493">
        <v>313.13</v>
      </c>
      <c r="F69" s="493">
        <v>422.15</v>
      </c>
      <c r="G69" s="493">
        <v>422.15</v>
      </c>
      <c r="H69" s="493">
        <v>422.15</v>
      </c>
      <c r="I69" s="493">
        <v>577.13</v>
      </c>
      <c r="J69" s="493">
        <v>577.13</v>
      </c>
      <c r="K69" s="493">
        <v>577.13</v>
      </c>
      <c r="L69" s="495">
        <v>209.33</v>
      </c>
      <c r="M69" s="495">
        <v>209.33</v>
      </c>
      <c r="N69" s="495">
        <v>209.33</v>
      </c>
      <c r="O69" s="495">
        <v>155.13</v>
      </c>
      <c r="P69" s="495">
        <v>155.13</v>
      </c>
      <c r="Q69" s="495">
        <v>155.13</v>
      </c>
      <c r="R69" s="495">
        <v>122.33</v>
      </c>
      <c r="S69" s="495">
        <v>122.33</v>
      </c>
      <c r="T69" s="495">
        <v>122.33</v>
      </c>
      <c r="U69" s="495">
        <v>133.55000000000001</v>
      </c>
      <c r="V69" s="495">
        <v>133.55000000000001</v>
      </c>
      <c r="W69" s="495">
        <v>133.55000000000001</v>
      </c>
      <c r="X69" s="495">
        <v>411.19</v>
      </c>
      <c r="Y69" s="495">
        <v>411.19</v>
      </c>
      <c r="Z69" s="495">
        <v>411.19</v>
      </c>
      <c r="AA69" s="495">
        <v>533.66</v>
      </c>
      <c r="AB69" s="495">
        <v>533.66</v>
      </c>
      <c r="AC69" s="495">
        <v>533.66</v>
      </c>
      <c r="AD69" s="493">
        <v>456.19</v>
      </c>
      <c r="AE69" s="494">
        <v>409.55</v>
      </c>
      <c r="AF69" s="493">
        <v>456.19</v>
      </c>
      <c r="AH69" s="287"/>
      <c r="AI69" s="287"/>
      <c r="AJ69" s="287"/>
      <c r="AK69" s="287"/>
    </row>
    <row r="70" spans="2:37" ht="16.5" thickTop="1" thickBot="1" x14ac:dyDescent="0.3">
      <c r="B70" s="328" t="s">
        <v>48</v>
      </c>
      <c r="C70" s="493">
        <v>313.13</v>
      </c>
      <c r="D70" s="493">
        <v>313.13</v>
      </c>
      <c r="E70" s="493">
        <v>313.13</v>
      </c>
      <c r="F70" s="493">
        <v>422.15</v>
      </c>
      <c r="G70" s="493">
        <v>422.15</v>
      </c>
      <c r="H70" s="493">
        <v>422.15</v>
      </c>
      <c r="I70" s="493">
        <v>577.13</v>
      </c>
      <c r="J70" s="493">
        <v>577.13</v>
      </c>
      <c r="K70" s="493">
        <v>577.13</v>
      </c>
      <c r="L70" s="495">
        <v>209.33</v>
      </c>
      <c r="M70" s="495">
        <v>209.33</v>
      </c>
      <c r="N70" s="495">
        <v>209.33</v>
      </c>
      <c r="O70" s="495">
        <v>155.13</v>
      </c>
      <c r="P70" s="495">
        <v>155.13</v>
      </c>
      <c r="Q70" s="495">
        <v>155.13</v>
      </c>
      <c r="R70" s="495">
        <v>122.33</v>
      </c>
      <c r="S70" s="495">
        <v>122.33</v>
      </c>
      <c r="T70" s="495">
        <v>122.33</v>
      </c>
      <c r="U70" s="495">
        <v>133.55000000000001</v>
      </c>
      <c r="V70" s="495">
        <v>133.55000000000001</v>
      </c>
      <c r="W70" s="495">
        <v>133.55000000000001</v>
      </c>
      <c r="X70" s="495">
        <v>411.19</v>
      </c>
      <c r="Y70" s="495">
        <v>411.19</v>
      </c>
      <c r="Z70" s="495">
        <v>411.19</v>
      </c>
      <c r="AA70" s="495">
        <v>533.66</v>
      </c>
      <c r="AB70" s="495">
        <v>533.66</v>
      </c>
      <c r="AC70" s="495">
        <v>533.66</v>
      </c>
      <c r="AD70" s="493">
        <v>303.77</v>
      </c>
      <c r="AE70" s="494">
        <v>189.44</v>
      </c>
      <c r="AF70" s="493">
        <v>303.77</v>
      </c>
      <c r="AI70" s="287"/>
    </row>
    <row r="71" spans="2:37" ht="16.5" thickTop="1" thickBot="1" x14ac:dyDescent="0.3">
      <c r="B71" s="328" t="s">
        <v>49</v>
      </c>
      <c r="C71" s="493">
        <v>313.13</v>
      </c>
      <c r="D71" s="493">
        <v>313.13</v>
      </c>
      <c r="E71" s="493">
        <v>313.13</v>
      </c>
      <c r="F71" s="493">
        <v>422.15</v>
      </c>
      <c r="G71" s="493">
        <v>422.15</v>
      </c>
      <c r="H71" s="493">
        <v>422.15</v>
      </c>
      <c r="I71" s="493">
        <v>577.13</v>
      </c>
      <c r="J71" s="493">
        <v>577.13</v>
      </c>
      <c r="K71" s="493">
        <v>577.13</v>
      </c>
      <c r="L71" s="495">
        <v>209.33</v>
      </c>
      <c r="M71" s="495">
        <v>209.33</v>
      </c>
      <c r="N71" s="495">
        <v>209.33</v>
      </c>
      <c r="O71" s="495">
        <v>155.13</v>
      </c>
      <c r="P71" s="495">
        <v>155.13</v>
      </c>
      <c r="Q71" s="495">
        <v>155.13</v>
      </c>
      <c r="R71" s="495">
        <v>122.33</v>
      </c>
      <c r="S71" s="495">
        <v>122.33</v>
      </c>
      <c r="T71" s="495">
        <v>122.33</v>
      </c>
      <c r="U71" s="495">
        <v>133.55000000000001</v>
      </c>
      <c r="V71" s="495">
        <v>133.55000000000001</v>
      </c>
      <c r="W71" s="495">
        <v>133.55000000000001</v>
      </c>
      <c r="X71" s="495">
        <v>411.19</v>
      </c>
      <c r="Y71" s="495">
        <v>411.19</v>
      </c>
      <c r="Z71" s="495">
        <v>411.19</v>
      </c>
      <c r="AA71" s="495">
        <v>533.66</v>
      </c>
      <c r="AB71" s="495">
        <v>533.66</v>
      </c>
      <c r="AC71" s="495">
        <v>533.66</v>
      </c>
      <c r="AD71" s="493">
        <v>0</v>
      </c>
      <c r="AE71" s="494">
        <v>0</v>
      </c>
      <c r="AF71" s="493">
        <v>0</v>
      </c>
    </row>
    <row r="72" spans="2:37" ht="16.5" thickTop="1" thickBot="1" x14ac:dyDescent="0.3">
      <c r="B72" s="328" t="s">
        <v>50</v>
      </c>
      <c r="C72" s="493">
        <v>313.13</v>
      </c>
      <c r="D72" s="493">
        <v>313.13</v>
      </c>
      <c r="E72" s="493">
        <v>313.13</v>
      </c>
      <c r="F72" s="493">
        <v>422.15</v>
      </c>
      <c r="G72" s="493">
        <v>422.15</v>
      </c>
      <c r="H72" s="493">
        <v>422.15</v>
      </c>
      <c r="I72" s="493">
        <v>577.13</v>
      </c>
      <c r="J72" s="493">
        <v>577.13</v>
      </c>
      <c r="K72" s="493">
        <v>577.13</v>
      </c>
      <c r="L72" s="495">
        <v>209.33</v>
      </c>
      <c r="M72" s="495">
        <v>209.33</v>
      </c>
      <c r="N72" s="495">
        <v>209.33</v>
      </c>
      <c r="O72" s="495">
        <v>155.13</v>
      </c>
      <c r="P72" s="495">
        <v>155.13</v>
      </c>
      <c r="Q72" s="495">
        <v>155.13</v>
      </c>
      <c r="R72" s="495">
        <v>122.33</v>
      </c>
      <c r="S72" s="495">
        <v>122.33</v>
      </c>
      <c r="T72" s="495">
        <v>122.33</v>
      </c>
      <c r="U72" s="495">
        <v>133.55000000000001</v>
      </c>
      <c r="V72" s="495">
        <v>133.55000000000001</v>
      </c>
      <c r="W72" s="495">
        <v>133.55000000000001</v>
      </c>
      <c r="X72" s="495">
        <v>411.19</v>
      </c>
      <c r="Y72" s="495">
        <v>411.19</v>
      </c>
      <c r="Z72" s="495">
        <v>411.19</v>
      </c>
      <c r="AA72" s="495">
        <v>533.66</v>
      </c>
      <c r="AB72" s="495">
        <v>533.66</v>
      </c>
      <c r="AC72" s="495">
        <v>533.66</v>
      </c>
      <c r="AD72" s="493">
        <v>0</v>
      </c>
      <c r="AE72" s="494">
        <v>0</v>
      </c>
      <c r="AF72" s="493">
        <v>0</v>
      </c>
    </row>
    <row r="73" spans="2:37" ht="16.5" thickTop="1" thickBot="1" x14ac:dyDescent="0.3">
      <c r="B73" s="329" t="s">
        <v>51</v>
      </c>
      <c r="C73" s="493">
        <v>313.13</v>
      </c>
      <c r="D73" s="493">
        <v>313.13</v>
      </c>
      <c r="E73" s="493">
        <v>313.13</v>
      </c>
      <c r="F73" s="493">
        <v>422.15</v>
      </c>
      <c r="G73" s="493">
        <v>422.15</v>
      </c>
      <c r="H73" s="493">
        <v>422.15</v>
      </c>
      <c r="I73" s="493">
        <v>577.13</v>
      </c>
      <c r="J73" s="493">
        <v>577.13</v>
      </c>
      <c r="K73" s="493">
        <v>577.13</v>
      </c>
      <c r="L73" s="495">
        <v>209.33</v>
      </c>
      <c r="M73" s="495">
        <v>209.33</v>
      </c>
      <c r="N73" s="495">
        <v>209.33</v>
      </c>
      <c r="O73" s="495">
        <v>155.13</v>
      </c>
      <c r="P73" s="495">
        <v>155.13</v>
      </c>
      <c r="Q73" s="495">
        <v>155.13</v>
      </c>
      <c r="R73" s="495">
        <v>122.33</v>
      </c>
      <c r="S73" s="495">
        <v>122.33</v>
      </c>
      <c r="T73" s="495">
        <v>122.33</v>
      </c>
      <c r="U73" s="495">
        <v>133.55000000000001</v>
      </c>
      <c r="V73" s="495">
        <v>133.55000000000001</v>
      </c>
      <c r="W73" s="495">
        <v>133.55000000000001</v>
      </c>
      <c r="X73" s="495">
        <v>411.19</v>
      </c>
      <c r="Y73" s="495">
        <v>411.19</v>
      </c>
      <c r="Z73" s="495">
        <v>411.19</v>
      </c>
      <c r="AA73" s="495">
        <v>533.66</v>
      </c>
      <c r="AB73" s="495">
        <v>533.66</v>
      </c>
      <c r="AC73" s="495">
        <v>533.66</v>
      </c>
      <c r="AD73" s="493">
        <v>405.66</v>
      </c>
      <c r="AE73" s="494">
        <v>466.98</v>
      </c>
      <c r="AF73" s="493">
        <v>405.66</v>
      </c>
    </row>
    <row r="74" spans="2:37" ht="16.5" thickTop="1" thickBot="1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2:37" x14ac:dyDescent="0.25">
      <c r="B75" s="337" t="s">
        <v>139</v>
      </c>
      <c r="C75" s="109">
        <v>2009</v>
      </c>
      <c r="D75" s="110">
        <v>2009</v>
      </c>
      <c r="E75" s="553" t="s">
        <v>212</v>
      </c>
      <c r="F75" s="109">
        <v>2010</v>
      </c>
      <c r="G75" s="110">
        <v>2010</v>
      </c>
      <c r="H75" s="553" t="s">
        <v>213</v>
      </c>
      <c r="I75" s="109">
        <v>2011</v>
      </c>
      <c r="J75" s="110">
        <v>2011</v>
      </c>
      <c r="K75" s="553" t="s">
        <v>214</v>
      </c>
      <c r="L75" s="109">
        <v>2012</v>
      </c>
      <c r="M75" s="110">
        <v>2012</v>
      </c>
      <c r="N75" s="553" t="s">
        <v>215</v>
      </c>
      <c r="O75" s="109">
        <v>2013</v>
      </c>
      <c r="P75" s="110">
        <v>2013</v>
      </c>
      <c r="Q75" s="553" t="s">
        <v>140</v>
      </c>
      <c r="R75" s="109">
        <v>2014</v>
      </c>
      <c r="S75" s="110">
        <v>2014</v>
      </c>
      <c r="T75" s="553" t="s">
        <v>216</v>
      </c>
      <c r="U75" s="109">
        <v>2015</v>
      </c>
      <c r="V75" s="110">
        <v>2015</v>
      </c>
      <c r="W75" s="553" t="s">
        <v>217</v>
      </c>
      <c r="X75" s="109">
        <v>2016</v>
      </c>
      <c r="Y75" s="110">
        <v>2016</v>
      </c>
      <c r="Z75" s="553" t="s">
        <v>218</v>
      </c>
      <c r="AA75" s="109">
        <v>2017</v>
      </c>
      <c r="AB75" s="110">
        <v>2017</v>
      </c>
      <c r="AC75" s="553" t="s">
        <v>219</v>
      </c>
      <c r="AD75" s="551" t="s">
        <v>39</v>
      </c>
      <c r="AE75" s="552"/>
      <c r="AF75" s="547" t="s">
        <v>40</v>
      </c>
    </row>
    <row r="76" spans="2:37" ht="15.75" thickBot="1" x14ac:dyDescent="0.3">
      <c r="B76"/>
      <c r="C76" s="111" t="s">
        <v>36</v>
      </c>
      <c r="D76" s="112" t="s">
        <v>37</v>
      </c>
      <c r="E76" s="554"/>
      <c r="F76" s="111" t="s">
        <v>36</v>
      </c>
      <c r="G76" s="112" t="s">
        <v>37</v>
      </c>
      <c r="H76" s="554"/>
      <c r="I76" s="111" t="s">
        <v>36</v>
      </c>
      <c r="J76" s="112" t="s">
        <v>37</v>
      </c>
      <c r="K76" s="554"/>
      <c r="L76" s="111" t="s">
        <v>36</v>
      </c>
      <c r="M76" s="112" t="s">
        <v>37</v>
      </c>
      <c r="N76" s="554"/>
      <c r="O76" s="111" t="s">
        <v>36</v>
      </c>
      <c r="P76" s="112" t="s">
        <v>37</v>
      </c>
      <c r="Q76" s="554"/>
      <c r="R76" s="111" t="s">
        <v>36</v>
      </c>
      <c r="S76" s="112" t="s">
        <v>37</v>
      </c>
      <c r="T76" s="554"/>
      <c r="U76" s="111" t="s">
        <v>36</v>
      </c>
      <c r="V76" s="112" t="s">
        <v>37</v>
      </c>
      <c r="W76" s="554"/>
      <c r="X76" s="111" t="s">
        <v>36</v>
      </c>
      <c r="Y76" s="112" t="s">
        <v>37</v>
      </c>
      <c r="Z76" s="554"/>
      <c r="AA76" s="111" t="s">
        <v>36</v>
      </c>
      <c r="AB76" s="112" t="s">
        <v>37</v>
      </c>
      <c r="AC76" s="554"/>
      <c r="AD76" s="113" t="s">
        <v>36</v>
      </c>
      <c r="AE76" s="114" t="s">
        <v>37</v>
      </c>
      <c r="AF76" s="548" t="s">
        <v>3</v>
      </c>
    </row>
    <row r="77" spans="2:37" ht="15.75" thickBot="1" x14ac:dyDescent="0.3">
      <c r="B77" s="115" t="s">
        <v>135</v>
      </c>
      <c r="C77" s="125">
        <f>C78+C79+C80+C81+C82+C83+C84+C85+C86+C87+C88</f>
        <v>36516</v>
      </c>
      <c r="D77" s="125">
        <f>D78+D79+D80+D81+D82+D83+D84+D85+D86+D87+D88</f>
        <v>6097</v>
      </c>
      <c r="E77" s="125">
        <f>E78+E79+E80+E81+E82+E83+E84+E85+E86+E87+E88</f>
        <v>42613</v>
      </c>
      <c r="F77" s="125">
        <f t="shared" ref="F77:AC77" si="17">F78+F79+F80+F81+F82+F83+F84+F85+F86+F87+F88</f>
        <v>432650</v>
      </c>
      <c r="G77" s="125">
        <f t="shared" si="17"/>
        <v>101698</v>
      </c>
      <c r="H77" s="125">
        <f t="shared" si="17"/>
        <v>534348</v>
      </c>
      <c r="I77" s="125">
        <f t="shared" si="17"/>
        <v>1034143</v>
      </c>
      <c r="J77" s="125">
        <f t="shared" si="17"/>
        <v>585487</v>
      </c>
      <c r="K77" s="125">
        <f t="shared" si="17"/>
        <v>1811679.8813856945</v>
      </c>
      <c r="L77" s="125">
        <f t="shared" si="17"/>
        <v>665267</v>
      </c>
      <c r="M77" s="125">
        <f t="shared" si="17"/>
        <v>366206</v>
      </c>
      <c r="N77" s="125">
        <f t="shared" si="17"/>
        <v>1031473</v>
      </c>
      <c r="O77" s="125">
        <f t="shared" si="17"/>
        <v>12853</v>
      </c>
      <c r="P77" s="125">
        <f t="shared" si="17"/>
        <v>6722</v>
      </c>
      <c r="Q77" s="125">
        <f t="shared" si="17"/>
        <v>19575</v>
      </c>
      <c r="R77" s="125">
        <f t="shared" si="17"/>
        <v>4851</v>
      </c>
      <c r="S77" s="125">
        <f t="shared" si="17"/>
        <v>5107</v>
      </c>
      <c r="T77" s="125">
        <f t="shared" si="17"/>
        <v>9958</v>
      </c>
      <c r="U77" s="125">
        <f t="shared" si="17"/>
        <v>16825</v>
      </c>
      <c r="V77" s="125">
        <f t="shared" si="17"/>
        <v>11934</v>
      </c>
      <c r="W77" s="125">
        <f t="shared" si="17"/>
        <v>28759</v>
      </c>
      <c r="X77" s="125">
        <f t="shared" si="17"/>
        <v>12036</v>
      </c>
      <c r="Y77" s="125">
        <f t="shared" si="17"/>
        <v>6790.4263468468453</v>
      </c>
      <c r="Z77" s="125">
        <f t="shared" si="17"/>
        <v>18826.426346846845</v>
      </c>
      <c r="AA77" s="125">
        <f t="shared" si="17"/>
        <v>111954</v>
      </c>
      <c r="AB77" s="125">
        <f t="shared" si="17"/>
        <v>43549</v>
      </c>
      <c r="AC77" s="125">
        <f t="shared" si="17"/>
        <v>155503</v>
      </c>
      <c r="AD77" s="325">
        <f>C77+F77+I77+L77+O77+R77+U77+X77+AA77</f>
        <v>2327095</v>
      </c>
      <c r="AE77" s="326">
        <f>D77+G77+J77+M77+P77+S77+V77+Y77+AB77</f>
        <v>1133590.4263468469</v>
      </c>
      <c r="AF77" s="327">
        <f>AD77+AE77</f>
        <v>3460685.4263468469</v>
      </c>
    </row>
    <row r="78" spans="2:37" ht="16.5" thickTop="1" thickBot="1" x14ac:dyDescent="0.3">
      <c r="B78" s="116" t="s">
        <v>41</v>
      </c>
      <c r="C78" s="472">
        <v>12999</v>
      </c>
      <c r="D78" s="476">
        <v>2533</v>
      </c>
      <c r="E78" s="478">
        <f t="shared" ref="E78:E88" si="18">C78+D78</f>
        <v>15532</v>
      </c>
      <c r="F78" s="472">
        <v>1203</v>
      </c>
      <c r="G78" s="476">
        <v>146</v>
      </c>
      <c r="H78" s="478">
        <f t="shared" ref="H78:H88" si="19">F78+G78</f>
        <v>1349</v>
      </c>
      <c r="I78" s="472">
        <v>42306</v>
      </c>
      <c r="J78" s="476">
        <v>5636</v>
      </c>
      <c r="K78" s="130">
        <v>42457.301666666681</v>
      </c>
      <c r="L78" s="472">
        <v>7963</v>
      </c>
      <c r="M78" s="476">
        <v>3044</v>
      </c>
      <c r="N78" s="130">
        <f>L78+M78</f>
        <v>11007</v>
      </c>
      <c r="O78" s="472">
        <v>0</v>
      </c>
      <c r="P78" s="476">
        <v>0</v>
      </c>
      <c r="Q78" s="130">
        <f>O78+P78</f>
        <v>0</v>
      </c>
      <c r="R78" s="472">
        <v>301</v>
      </c>
      <c r="S78" s="476">
        <v>88</v>
      </c>
      <c r="T78" s="130">
        <f>R78+S78</f>
        <v>389</v>
      </c>
      <c r="U78" s="472">
        <v>0</v>
      </c>
      <c r="V78" s="476">
        <v>0</v>
      </c>
      <c r="W78" s="130">
        <f>U78+V78</f>
        <v>0</v>
      </c>
      <c r="X78" s="128">
        <v>0</v>
      </c>
      <c r="Y78" s="129">
        <v>0</v>
      </c>
      <c r="Z78" s="130">
        <f>X78+Y78</f>
        <v>0</v>
      </c>
      <c r="AA78" s="128">
        <v>0</v>
      </c>
      <c r="AB78" s="129">
        <v>0</v>
      </c>
      <c r="AC78" s="130">
        <f>AA78+AB78</f>
        <v>0</v>
      </c>
      <c r="AD78" s="325">
        <f t="shared" ref="AD78:AD88" si="20">C78+F78+I78+L78+O78+R78+U78+X78+AA78</f>
        <v>64772</v>
      </c>
      <c r="AE78" s="326">
        <f t="shared" ref="AE78:AE88" si="21">D78+G78+J78+M78+P78+S78+V78+Y78+AB78</f>
        <v>11447</v>
      </c>
      <c r="AF78" s="327">
        <f t="shared" ref="AF78:AF88" si="22">AD78+AE78</f>
        <v>76219</v>
      </c>
    </row>
    <row r="79" spans="2:37" ht="16.5" thickTop="1" thickBot="1" x14ac:dyDescent="0.3">
      <c r="B79" s="118" t="s">
        <v>42</v>
      </c>
      <c r="C79" s="473">
        <v>0</v>
      </c>
      <c r="D79" s="475">
        <v>0</v>
      </c>
      <c r="E79" s="478">
        <f t="shared" si="18"/>
        <v>0</v>
      </c>
      <c r="F79" s="473">
        <v>55603</v>
      </c>
      <c r="G79" s="475">
        <v>17601</v>
      </c>
      <c r="H79" s="478">
        <f t="shared" si="19"/>
        <v>73204</v>
      </c>
      <c r="I79" s="473">
        <v>75303</v>
      </c>
      <c r="J79" s="475">
        <v>33555</v>
      </c>
      <c r="K79" s="135">
        <v>91769.098106764141</v>
      </c>
      <c r="L79" s="473">
        <v>33565</v>
      </c>
      <c r="M79" s="475">
        <v>16222</v>
      </c>
      <c r="N79" s="130">
        <f t="shared" ref="N79:N88" si="23">L79+M79</f>
        <v>49787</v>
      </c>
      <c r="O79" s="473">
        <v>4555</v>
      </c>
      <c r="P79" s="475">
        <v>2333</v>
      </c>
      <c r="Q79" s="130">
        <f t="shared" ref="Q79:Q88" si="24">O79+P79</f>
        <v>6888</v>
      </c>
      <c r="R79" s="473">
        <v>1503</v>
      </c>
      <c r="S79" s="475">
        <v>2011</v>
      </c>
      <c r="T79" s="130">
        <f t="shared" ref="T79:T88" si="25">R79+S79</f>
        <v>3514</v>
      </c>
      <c r="U79" s="473">
        <v>1222</v>
      </c>
      <c r="V79" s="475">
        <v>4033</v>
      </c>
      <c r="W79" s="130">
        <f t="shared" ref="W79:W88" si="26">U79+V79</f>
        <v>5255</v>
      </c>
      <c r="X79" s="473">
        <v>2003</v>
      </c>
      <c r="Y79" s="475">
        <v>1002.1678333333333</v>
      </c>
      <c r="Z79" s="130">
        <f t="shared" ref="Z79:Z88" si="27">X79+Y79</f>
        <v>3005.1678333333334</v>
      </c>
      <c r="AA79" s="473">
        <v>4055</v>
      </c>
      <c r="AB79" s="475">
        <v>4505</v>
      </c>
      <c r="AC79" s="130">
        <f t="shared" ref="AC79:AC88" si="28">AA79+AB79</f>
        <v>8560</v>
      </c>
      <c r="AD79" s="325">
        <f t="shared" si="20"/>
        <v>177809</v>
      </c>
      <c r="AE79" s="326">
        <f t="shared" si="21"/>
        <v>81262.16783333334</v>
      </c>
      <c r="AF79" s="327">
        <f t="shared" si="22"/>
        <v>259071.16783333334</v>
      </c>
    </row>
    <row r="80" spans="2:37" ht="16.5" thickTop="1" thickBot="1" x14ac:dyDescent="0.3">
      <c r="B80" s="118" t="s">
        <v>43</v>
      </c>
      <c r="C80" s="473">
        <v>1406</v>
      </c>
      <c r="D80" s="475">
        <v>655</v>
      </c>
      <c r="E80" s="478">
        <f t="shared" si="18"/>
        <v>2061</v>
      </c>
      <c r="F80" s="473">
        <v>236111</v>
      </c>
      <c r="G80" s="475">
        <v>33212</v>
      </c>
      <c r="H80" s="478">
        <f t="shared" si="19"/>
        <v>269323</v>
      </c>
      <c r="I80" s="473">
        <v>689455</v>
      </c>
      <c r="J80" s="475">
        <v>439121</v>
      </c>
      <c r="K80" s="135">
        <v>1175318.9213633975</v>
      </c>
      <c r="L80" s="473">
        <v>405603</v>
      </c>
      <c r="M80" s="475">
        <v>304555</v>
      </c>
      <c r="N80" s="130">
        <f t="shared" si="23"/>
        <v>710158</v>
      </c>
      <c r="O80" s="473">
        <v>7893</v>
      </c>
      <c r="P80" s="475">
        <v>4056</v>
      </c>
      <c r="Q80" s="130">
        <f t="shared" si="24"/>
        <v>11949</v>
      </c>
      <c r="R80" s="473">
        <v>3047</v>
      </c>
      <c r="S80" s="475">
        <v>3008</v>
      </c>
      <c r="T80" s="130">
        <f t="shared" si="25"/>
        <v>6055</v>
      </c>
      <c r="U80" s="473">
        <v>15603</v>
      </c>
      <c r="V80" s="475">
        <v>7901</v>
      </c>
      <c r="W80" s="130">
        <f t="shared" si="26"/>
        <v>23504</v>
      </c>
      <c r="X80" s="473">
        <v>8022</v>
      </c>
      <c r="Y80" s="475">
        <v>5788.2585135135123</v>
      </c>
      <c r="Z80" s="130">
        <f t="shared" si="27"/>
        <v>13810.258513513512</v>
      </c>
      <c r="AA80" s="473">
        <v>18999</v>
      </c>
      <c r="AB80" s="475">
        <v>6033</v>
      </c>
      <c r="AC80" s="130">
        <f t="shared" si="28"/>
        <v>25032</v>
      </c>
      <c r="AD80" s="325">
        <f t="shared" si="20"/>
        <v>1386139</v>
      </c>
      <c r="AE80" s="326">
        <f t="shared" si="21"/>
        <v>804329.25851351349</v>
      </c>
      <c r="AF80" s="327">
        <f t="shared" si="22"/>
        <v>2190468.2585135135</v>
      </c>
    </row>
    <row r="81" spans="1:34" ht="16.5" thickTop="1" thickBot="1" x14ac:dyDescent="0.3">
      <c r="B81" s="118" t="s">
        <v>44</v>
      </c>
      <c r="C81" s="473">
        <v>455</v>
      </c>
      <c r="D81" s="475">
        <v>0</v>
      </c>
      <c r="E81" s="478">
        <f t="shared" si="18"/>
        <v>455</v>
      </c>
      <c r="F81" s="473">
        <v>105302</v>
      </c>
      <c r="G81" s="475">
        <v>43608</v>
      </c>
      <c r="H81" s="478">
        <f t="shared" si="19"/>
        <v>148910</v>
      </c>
      <c r="I81" s="473">
        <v>208444</v>
      </c>
      <c r="J81" s="475">
        <v>103555</v>
      </c>
      <c r="K81" s="135">
        <v>486685.97807780677</v>
      </c>
      <c r="L81" s="473">
        <v>203666</v>
      </c>
      <c r="M81" s="475">
        <v>26777</v>
      </c>
      <c r="N81" s="130">
        <f t="shared" si="23"/>
        <v>230443</v>
      </c>
      <c r="O81" s="473">
        <v>405</v>
      </c>
      <c r="P81" s="475">
        <v>333</v>
      </c>
      <c r="Q81" s="130">
        <f t="shared" si="24"/>
        <v>738</v>
      </c>
      <c r="R81" s="133">
        <v>0</v>
      </c>
      <c r="S81" s="134">
        <v>0</v>
      </c>
      <c r="T81" s="130">
        <f t="shared" si="25"/>
        <v>0</v>
      </c>
      <c r="U81" s="133">
        <v>0</v>
      </c>
      <c r="V81" s="134">
        <v>0</v>
      </c>
      <c r="W81" s="130">
        <f t="shared" si="26"/>
        <v>0</v>
      </c>
      <c r="X81" s="473">
        <v>2011</v>
      </c>
      <c r="Y81" s="475">
        <v>0</v>
      </c>
      <c r="Z81" s="130">
        <f t="shared" si="27"/>
        <v>2011</v>
      </c>
      <c r="AA81" s="473">
        <v>88900</v>
      </c>
      <c r="AB81" s="475">
        <v>33011</v>
      </c>
      <c r="AC81" s="130">
        <f t="shared" si="28"/>
        <v>121911</v>
      </c>
      <c r="AD81" s="325">
        <f t="shared" si="20"/>
        <v>609183</v>
      </c>
      <c r="AE81" s="326">
        <f t="shared" si="21"/>
        <v>207284</v>
      </c>
      <c r="AF81" s="327">
        <f t="shared" si="22"/>
        <v>816467</v>
      </c>
    </row>
    <row r="82" spans="1:34" ht="16.5" thickTop="1" thickBot="1" x14ac:dyDescent="0.3">
      <c r="B82" s="118" t="s">
        <v>45</v>
      </c>
      <c r="C82" s="473">
        <v>1322</v>
      </c>
      <c r="D82" s="475">
        <v>111</v>
      </c>
      <c r="E82" s="478">
        <f t="shared" si="18"/>
        <v>1433</v>
      </c>
      <c r="F82" s="473">
        <v>16233</v>
      </c>
      <c r="G82" s="475">
        <v>3020</v>
      </c>
      <c r="H82" s="478">
        <f t="shared" si="19"/>
        <v>19253</v>
      </c>
      <c r="I82" s="473">
        <v>2333</v>
      </c>
      <c r="J82" s="475">
        <v>409</v>
      </c>
      <c r="K82" s="135">
        <v>2538.532971208153</v>
      </c>
      <c r="L82" s="473">
        <v>0</v>
      </c>
      <c r="M82" s="475">
        <v>0</v>
      </c>
      <c r="N82" s="130">
        <f t="shared" si="23"/>
        <v>0</v>
      </c>
      <c r="O82" s="473">
        <v>0</v>
      </c>
      <c r="P82" s="475">
        <v>0</v>
      </c>
      <c r="Q82" s="130">
        <f t="shared" si="24"/>
        <v>0</v>
      </c>
      <c r="R82" s="133">
        <v>0</v>
      </c>
      <c r="S82" s="134">
        <v>0</v>
      </c>
      <c r="T82" s="130">
        <f t="shared" si="25"/>
        <v>0</v>
      </c>
      <c r="U82" s="133">
        <v>0</v>
      </c>
      <c r="V82" s="134">
        <v>0</v>
      </c>
      <c r="W82" s="130">
        <f t="shared" si="26"/>
        <v>0</v>
      </c>
      <c r="X82" s="133">
        <v>0</v>
      </c>
      <c r="Y82" s="134">
        <v>0</v>
      </c>
      <c r="Z82" s="130">
        <f t="shared" si="27"/>
        <v>0</v>
      </c>
      <c r="AA82" s="133">
        <v>0</v>
      </c>
      <c r="AB82" s="134">
        <v>0</v>
      </c>
      <c r="AC82" s="130">
        <f t="shared" si="28"/>
        <v>0</v>
      </c>
      <c r="AD82" s="325">
        <f t="shared" si="20"/>
        <v>19888</v>
      </c>
      <c r="AE82" s="326">
        <f t="shared" si="21"/>
        <v>3540</v>
      </c>
      <c r="AF82" s="327">
        <f t="shared" si="22"/>
        <v>23428</v>
      </c>
    </row>
    <row r="83" spans="1:34" ht="16.5" thickTop="1" thickBot="1" x14ac:dyDescent="0.3">
      <c r="B83" s="328" t="s">
        <v>46</v>
      </c>
      <c r="C83" s="473">
        <v>3899</v>
      </c>
      <c r="D83" s="475">
        <v>0</v>
      </c>
      <c r="E83" s="478">
        <f t="shared" si="18"/>
        <v>3899</v>
      </c>
      <c r="F83" s="473">
        <v>4532</v>
      </c>
      <c r="G83" s="475">
        <v>0</v>
      </c>
      <c r="H83" s="478">
        <f t="shared" si="19"/>
        <v>4532</v>
      </c>
      <c r="I83" s="473">
        <v>0</v>
      </c>
      <c r="J83" s="475">
        <v>0</v>
      </c>
      <c r="K83" s="135">
        <v>0</v>
      </c>
      <c r="L83" s="473">
        <v>0</v>
      </c>
      <c r="M83" s="475">
        <v>0</v>
      </c>
      <c r="N83" s="130">
        <f t="shared" si="23"/>
        <v>0</v>
      </c>
      <c r="O83" s="473">
        <v>0</v>
      </c>
      <c r="P83" s="475">
        <v>0</v>
      </c>
      <c r="Q83" s="130">
        <f t="shared" si="24"/>
        <v>0</v>
      </c>
      <c r="R83" s="133">
        <v>0</v>
      </c>
      <c r="S83" s="134">
        <v>0</v>
      </c>
      <c r="T83" s="130">
        <f t="shared" si="25"/>
        <v>0</v>
      </c>
      <c r="U83" s="133">
        <v>0</v>
      </c>
      <c r="V83" s="134">
        <v>0</v>
      </c>
      <c r="W83" s="130">
        <f t="shared" si="26"/>
        <v>0</v>
      </c>
      <c r="X83" s="133">
        <v>0</v>
      </c>
      <c r="Y83" s="134">
        <v>0</v>
      </c>
      <c r="Z83" s="130">
        <f t="shared" si="27"/>
        <v>0</v>
      </c>
      <c r="AA83" s="133">
        <v>0</v>
      </c>
      <c r="AB83" s="134">
        <v>0</v>
      </c>
      <c r="AC83" s="130">
        <f t="shared" si="28"/>
        <v>0</v>
      </c>
      <c r="AD83" s="325">
        <f t="shared" si="20"/>
        <v>8431</v>
      </c>
      <c r="AE83" s="326">
        <f t="shared" si="21"/>
        <v>0</v>
      </c>
      <c r="AF83" s="327">
        <f t="shared" si="22"/>
        <v>8431</v>
      </c>
    </row>
    <row r="84" spans="1:34" ht="16.5" thickTop="1" thickBot="1" x14ac:dyDescent="0.3">
      <c r="B84" s="328" t="s">
        <v>47</v>
      </c>
      <c r="C84" s="473">
        <v>15333</v>
      </c>
      <c r="D84" s="475">
        <v>2015</v>
      </c>
      <c r="E84" s="478">
        <f t="shared" si="18"/>
        <v>17348</v>
      </c>
      <c r="F84" s="473">
        <v>13666</v>
      </c>
      <c r="G84" s="475">
        <v>4111</v>
      </c>
      <c r="H84" s="478">
        <f t="shared" si="19"/>
        <v>17777</v>
      </c>
      <c r="I84" s="473">
        <v>16302</v>
      </c>
      <c r="J84" s="475">
        <v>3211</v>
      </c>
      <c r="K84" s="135">
        <v>12910.049199851288</v>
      </c>
      <c r="L84" s="473">
        <v>207</v>
      </c>
      <c r="M84" s="475">
        <v>405</v>
      </c>
      <c r="N84" s="130">
        <f t="shared" si="23"/>
        <v>612</v>
      </c>
      <c r="O84" s="473">
        <v>0</v>
      </c>
      <c r="P84" s="475">
        <v>0</v>
      </c>
      <c r="Q84" s="130">
        <f t="shared" si="24"/>
        <v>0</v>
      </c>
      <c r="R84" s="133">
        <v>0</v>
      </c>
      <c r="S84" s="134">
        <v>0</v>
      </c>
      <c r="T84" s="130">
        <f t="shared" si="25"/>
        <v>0</v>
      </c>
      <c r="U84" s="133">
        <v>0</v>
      </c>
      <c r="V84" s="134">
        <v>0</v>
      </c>
      <c r="W84" s="130">
        <f t="shared" si="26"/>
        <v>0</v>
      </c>
      <c r="X84" s="133">
        <v>0</v>
      </c>
      <c r="Y84" s="134">
        <v>0</v>
      </c>
      <c r="Z84" s="130">
        <f t="shared" si="27"/>
        <v>0</v>
      </c>
      <c r="AA84" s="133">
        <v>0</v>
      </c>
      <c r="AB84" s="134">
        <v>0</v>
      </c>
      <c r="AC84" s="130">
        <f t="shared" si="28"/>
        <v>0</v>
      </c>
      <c r="AD84" s="325">
        <f t="shared" si="20"/>
        <v>45508</v>
      </c>
      <c r="AE84" s="326">
        <f t="shared" si="21"/>
        <v>9742</v>
      </c>
      <c r="AF84" s="327">
        <f t="shared" si="22"/>
        <v>55250</v>
      </c>
    </row>
    <row r="85" spans="1:34" ht="16.5" thickTop="1" thickBot="1" x14ac:dyDescent="0.3">
      <c r="B85" s="328" t="s">
        <v>48</v>
      </c>
      <c r="C85" s="473">
        <v>1102</v>
      </c>
      <c r="D85" s="475">
        <v>783</v>
      </c>
      <c r="E85" s="478">
        <f t="shared" si="18"/>
        <v>1885</v>
      </c>
      <c r="F85" s="473">
        <v>0</v>
      </c>
      <c r="G85" s="475">
        <v>0</v>
      </c>
      <c r="H85" s="478">
        <f t="shared" si="19"/>
        <v>0</v>
      </c>
      <c r="I85" s="473">
        <v>0</v>
      </c>
      <c r="J85" s="475">
        <v>0</v>
      </c>
      <c r="K85" s="135">
        <v>0</v>
      </c>
      <c r="L85" s="473">
        <v>0</v>
      </c>
      <c r="M85" s="475">
        <v>0</v>
      </c>
      <c r="N85" s="130">
        <f t="shared" si="23"/>
        <v>0</v>
      </c>
      <c r="O85" s="473">
        <v>0</v>
      </c>
      <c r="P85" s="475">
        <v>0</v>
      </c>
      <c r="Q85" s="130">
        <f t="shared" si="24"/>
        <v>0</v>
      </c>
      <c r="R85" s="133">
        <v>0</v>
      </c>
      <c r="S85" s="134">
        <v>0</v>
      </c>
      <c r="T85" s="130">
        <f t="shared" si="25"/>
        <v>0</v>
      </c>
      <c r="U85" s="133">
        <v>0</v>
      </c>
      <c r="V85" s="134">
        <v>0</v>
      </c>
      <c r="W85" s="130">
        <f t="shared" si="26"/>
        <v>0</v>
      </c>
      <c r="X85" s="133">
        <v>0</v>
      </c>
      <c r="Y85" s="134">
        <v>0</v>
      </c>
      <c r="Z85" s="130">
        <f t="shared" si="27"/>
        <v>0</v>
      </c>
      <c r="AA85" s="133">
        <v>0</v>
      </c>
      <c r="AB85" s="134">
        <v>0</v>
      </c>
      <c r="AC85" s="130">
        <f t="shared" si="28"/>
        <v>0</v>
      </c>
      <c r="AD85" s="325">
        <f t="shared" si="20"/>
        <v>1102</v>
      </c>
      <c r="AE85" s="326">
        <f t="shared" si="21"/>
        <v>783</v>
      </c>
      <c r="AF85" s="327">
        <f t="shared" si="22"/>
        <v>1885</v>
      </c>
    </row>
    <row r="86" spans="1:34" ht="16.5" thickTop="1" thickBot="1" x14ac:dyDescent="0.3">
      <c r="B86" s="328" t="s">
        <v>49</v>
      </c>
      <c r="C86" s="473">
        <v>0</v>
      </c>
      <c r="D86" s="475">
        <v>0</v>
      </c>
      <c r="E86" s="478">
        <f t="shared" si="18"/>
        <v>0</v>
      </c>
      <c r="F86" s="473">
        <v>0</v>
      </c>
      <c r="G86" s="475">
        <v>0</v>
      </c>
      <c r="H86" s="478">
        <f t="shared" si="19"/>
        <v>0</v>
      </c>
      <c r="I86" s="473">
        <v>0</v>
      </c>
      <c r="J86" s="475">
        <v>0</v>
      </c>
      <c r="K86" s="135">
        <v>0</v>
      </c>
      <c r="L86" s="473">
        <v>0</v>
      </c>
      <c r="M86" s="475">
        <v>0</v>
      </c>
      <c r="N86" s="130">
        <f t="shared" si="23"/>
        <v>0</v>
      </c>
      <c r="O86" s="473">
        <v>0</v>
      </c>
      <c r="P86" s="475">
        <v>0</v>
      </c>
      <c r="Q86" s="130">
        <f t="shared" si="24"/>
        <v>0</v>
      </c>
      <c r="R86" s="133">
        <v>0</v>
      </c>
      <c r="S86" s="134">
        <v>0</v>
      </c>
      <c r="T86" s="130">
        <f t="shared" si="25"/>
        <v>0</v>
      </c>
      <c r="U86" s="133">
        <v>0</v>
      </c>
      <c r="V86" s="134">
        <v>0</v>
      </c>
      <c r="W86" s="130">
        <f t="shared" si="26"/>
        <v>0</v>
      </c>
      <c r="X86" s="133">
        <v>0</v>
      </c>
      <c r="Y86" s="134">
        <v>0</v>
      </c>
      <c r="Z86" s="130">
        <f t="shared" si="27"/>
        <v>0</v>
      </c>
      <c r="AA86" s="133">
        <v>0</v>
      </c>
      <c r="AB86" s="134">
        <v>0</v>
      </c>
      <c r="AC86" s="130">
        <f t="shared" si="28"/>
        <v>0</v>
      </c>
      <c r="AD86" s="325">
        <f t="shared" si="20"/>
        <v>0</v>
      </c>
      <c r="AE86" s="326">
        <f t="shared" si="21"/>
        <v>0</v>
      </c>
      <c r="AF86" s="327">
        <f t="shared" si="22"/>
        <v>0</v>
      </c>
    </row>
    <row r="87" spans="1:34" ht="16.5" thickTop="1" thickBot="1" x14ac:dyDescent="0.3">
      <c r="B87" s="328" t="s">
        <v>50</v>
      </c>
      <c r="C87" s="473">
        <v>0</v>
      </c>
      <c r="D87" s="475">
        <v>0</v>
      </c>
      <c r="E87" s="478">
        <f t="shared" si="18"/>
        <v>0</v>
      </c>
      <c r="F87" s="473">
        <v>0</v>
      </c>
      <c r="G87" s="475">
        <v>0</v>
      </c>
      <c r="H87" s="478">
        <f t="shared" si="19"/>
        <v>0</v>
      </c>
      <c r="I87" s="473">
        <v>0</v>
      </c>
      <c r="J87" s="475">
        <v>0</v>
      </c>
      <c r="K87" s="135">
        <v>0</v>
      </c>
      <c r="L87" s="473">
        <v>0</v>
      </c>
      <c r="M87" s="475">
        <v>0</v>
      </c>
      <c r="N87" s="130">
        <f t="shared" si="23"/>
        <v>0</v>
      </c>
      <c r="O87" s="473">
        <v>0</v>
      </c>
      <c r="P87" s="475">
        <v>0</v>
      </c>
      <c r="Q87" s="130">
        <f t="shared" si="24"/>
        <v>0</v>
      </c>
      <c r="R87" s="133">
        <v>0</v>
      </c>
      <c r="S87" s="134">
        <v>0</v>
      </c>
      <c r="T87" s="130">
        <f t="shared" si="25"/>
        <v>0</v>
      </c>
      <c r="U87" s="133">
        <v>0</v>
      </c>
      <c r="V87" s="134">
        <v>0</v>
      </c>
      <c r="W87" s="130">
        <f t="shared" si="26"/>
        <v>0</v>
      </c>
      <c r="X87" s="133">
        <v>0</v>
      </c>
      <c r="Y87" s="134">
        <v>0</v>
      </c>
      <c r="Z87" s="130">
        <f t="shared" si="27"/>
        <v>0</v>
      </c>
      <c r="AA87" s="133">
        <v>0</v>
      </c>
      <c r="AB87" s="134">
        <v>0</v>
      </c>
      <c r="AC87" s="130">
        <f t="shared" si="28"/>
        <v>0</v>
      </c>
      <c r="AD87" s="325">
        <f t="shared" si="20"/>
        <v>0</v>
      </c>
      <c r="AE87" s="326">
        <f t="shared" si="21"/>
        <v>0</v>
      </c>
      <c r="AF87" s="327">
        <f t="shared" si="22"/>
        <v>0</v>
      </c>
    </row>
    <row r="88" spans="1:34" ht="16.5" thickTop="1" thickBot="1" x14ac:dyDescent="0.3">
      <c r="B88" s="329" t="s">
        <v>51</v>
      </c>
      <c r="C88" s="484">
        <v>0</v>
      </c>
      <c r="D88" s="485">
        <v>0</v>
      </c>
      <c r="E88" s="478">
        <f t="shared" si="18"/>
        <v>0</v>
      </c>
      <c r="F88" s="484">
        <v>0</v>
      </c>
      <c r="G88" s="485">
        <v>0</v>
      </c>
      <c r="H88" s="478">
        <f t="shared" si="19"/>
        <v>0</v>
      </c>
      <c r="I88" s="484">
        <v>0</v>
      </c>
      <c r="J88" s="485">
        <v>0</v>
      </c>
      <c r="K88" s="138">
        <v>0</v>
      </c>
      <c r="L88" s="484">
        <v>14263</v>
      </c>
      <c r="M88" s="485">
        <v>15203</v>
      </c>
      <c r="N88" s="130">
        <f t="shared" si="23"/>
        <v>29466</v>
      </c>
      <c r="O88" s="484">
        <v>0</v>
      </c>
      <c r="P88" s="485">
        <v>0</v>
      </c>
      <c r="Q88" s="130">
        <f t="shared" si="24"/>
        <v>0</v>
      </c>
      <c r="R88" s="136">
        <v>0</v>
      </c>
      <c r="S88" s="137">
        <v>0</v>
      </c>
      <c r="T88" s="130">
        <f t="shared" si="25"/>
        <v>0</v>
      </c>
      <c r="U88" s="136">
        <v>0</v>
      </c>
      <c r="V88" s="137">
        <v>0</v>
      </c>
      <c r="W88" s="130">
        <f t="shared" si="26"/>
        <v>0</v>
      </c>
      <c r="X88" s="136">
        <v>0</v>
      </c>
      <c r="Y88" s="137">
        <v>0</v>
      </c>
      <c r="Z88" s="130">
        <f t="shared" si="27"/>
        <v>0</v>
      </c>
      <c r="AA88" s="136">
        <v>0</v>
      </c>
      <c r="AB88" s="137">
        <v>0</v>
      </c>
      <c r="AC88" s="130">
        <f t="shared" si="28"/>
        <v>0</v>
      </c>
      <c r="AD88" s="325">
        <f t="shared" si="20"/>
        <v>14263</v>
      </c>
      <c r="AE88" s="326">
        <f t="shared" si="21"/>
        <v>15203</v>
      </c>
      <c r="AF88" s="327">
        <f t="shared" si="22"/>
        <v>29466</v>
      </c>
    </row>
    <row r="89" spans="1:34" ht="15.75" thickTop="1" x14ac:dyDescent="0.25">
      <c r="B89"/>
      <c r="C89"/>
      <c r="D89"/>
      <c r="E89"/>
      <c r="F89"/>
      <c r="G89"/>
      <c r="H89" s="323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4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4" ht="14.45" hidden="1" customHeight="1" x14ac:dyDescent="0.25">
      <c r="B91" s="108" t="s">
        <v>62</v>
      </c>
      <c r="C91" s="348">
        <v>2009</v>
      </c>
      <c r="D91" s="349">
        <v>2009</v>
      </c>
      <c r="E91" s="549" t="s">
        <v>212</v>
      </c>
      <c r="F91" s="348">
        <v>2010</v>
      </c>
      <c r="G91" s="349">
        <v>2010</v>
      </c>
      <c r="H91" s="549" t="s">
        <v>213</v>
      </c>
      <c r="I91" s="348">
        <v>2011</v>
      </c>
      <c r="J91" s="349">
        <v>2011</v>
      </c>
      <c r="K91" s="549" t="s">
        <v>214</v>
      </c>
      <c r="L91" s="348">
        <v>2012</v>
      </c>
      <c r="M91" s="349">
        <v>2012</v>
      </c>
      <c r="N91" s="549" t="s">
        <v>215</v>
      </c>
      <c r="O91" s="348">
        <v>2013</v>
      </c>
      <c r="P91" s="349">
        <v>2013</v>
      </c>
      <c r="Q91" s="549" t="s">
        <v>140</v>
      </c>
      <c r="R91" s="348">
        <v>2014</v>
      </c>
      <c r="S91" s="349">
        <v>2014</v>
      </c>
      <c r="T91" s="549" t="s">
        <v>216</v>
      </c>
      <c r="U91" s="348">
        <v>2015</v>
      </c>
      <c r="V91" s="349">
        <v>2015</v>
      </c>
      <c r="W91" s="549" t="s">
        <v>217</v>
      </c>
      <c r="X91" s="348">
        <v>2016</v>
      </c>
      <c r="Y91" s="349">
        <v>2016</v>
      </c>
      <c r="Z91" s="549" t="s">
        <v>218</v>
      </c>
      <c r="AA91" s="348">
        <v>2017</v>
      </c>
      <c r="AB91" s="349">
        <v>2017</v>
      </c>
      <c r="AC91" s="549" t="s">
        <v>219</v>
      </c>
      <c r="AD91" s="551" t="s">
        <v>39</v>
      </c>
      <c r="AE91" s="552"/>
      <c r="AF91" s="547" t="s">
        <v>40</v>
      </c>
    </row>
    <row r="92" spans="1:34" ht="15" hidden="1" customHeight="1" thickBot="1" x14ac:dyDescent="0.3">
      <c r="B92"/>
      <c r="C92" s="350" t="s">
        <v>36</v>
      </c>
      <c r="D92" s="351" t="s">
        <v>37</v>
      </c>
      <c r="E92" s="550"/>
      <c r="F92" s="350" t="s">
        <v>36</v>
      </c>
      <c r="G92" s="351" t="s">
        <v>37</v>
      </c>
      <c r="H92" s="550"/>
      <c r="I92" s="350" t="s">
        <v>36</v>
      </c>
      <c r="J92" s="351" t="s">
        <v>37</v>
      </c>
      <c r="K92" s="550"/>
      <c r="L92" s="350" t="s">
        <v>36</v>
      </c>
      <c r="M92" s="351" t="s">
        <v>37</v>
      </c>
      <c r="N92" s="550"/>
      <c r="O92" s="350" t="s">
        <v>36</v>
      </c>
      <c r="P92" s="351" t="s">
        <v>37</v>
      </c>
      <c r="Q92" s="550"/>
      <c r="R92" s="350" t="s">
        <v>36</v>
      </c>
      <c r="S92" s="351" t="s">
        <v>37</v>
      </c>
      <c r="T92" s="550"/>
      <c r="U92" s="350" t="s">
        <v>36</v>
      </c>
      <c r="V92" s="351" t="s">
        <v>37</v>
      </c>
      <c r="W92" s="550"/>
      <c r="X92" s="350" t="s">
        <v>36</v>
      </c>
      <c r="Y92" s="351" t="s">
        <v>37</v>
      </c>
      <c r="Z92" s="550"/>
      <c r="AA92" s="350" t="s">
        <v>36</v>
      </c>
      <c r="AB92" s="351" t="s">
        <v>37</v>
      </c>
      <c r="AC92" s="550"/>
      <c r="AD92" s="113" t="s">
        <v>36</v>
      </c>
      <c r="AE92" s="114" t="s">
        <v>37</v>
      </c>
      <c r="AF92" s="548" t="s">
        <v>3</v>
      </c>
      <c r="AH92" s="290"/>
    </row>
    <row r="93" spans="1:34" ht="15" hidden="1" customHeight="1" thickBot="1" x14ac:dyDescent="0.3">
      <c r="A93" s="287"/>
      <c r="B93" s="115" t="s">
        <v>135</v>
      </c>
      <c r="C93" s="352">
        <v>193.8212955735076</v>
      </c>
      <c r="D93" s="353">
        <v>198.26678666378413</v>
      </c>
      <c r="E93" s="354">
        <v>194.46952013166452</v>
      </c>
      <c r="F93" s="352">
        <v>428.99477049105798</v>
      </c>
      <c r="G93" s="353">
        <v>415.2607464535356</v>
      </c>
      <c r="H93" s="354">
        <v>425.80991879868401</v>
      </c>
      <c r="I93" s="352">
        <v>397.34742866295556</v>
      </c>
      <c r="J93" s="353">
        <v>385.83781707698972</v>
      </c>
      <c r="K93" s="354">
        <v>393.87669883277403</v>
      </c>
      <c r="L93" s="352">
        <v>331.09036609410049</v>
      </c>
      <c r="M93" s="353">
        <v>324.08272463279013</v>
      </c>
      <c r="N93" s="354">
        <v>328.33934802950898</v>
      </c>
      <c r="O93" s="352">
        <v>228.23472931487302</v>
      </c>
      <c r="P93" s="353">
        <v>216.16711141568629</v>
      </c>
      <c r="Q93" s="354">
        <v>224.03383214053349</v>
      </c>
      <c r="R93" s="352">
        <v>217.26495726495725</v>
      </c>
      <c r="S93" s="353">
        <v>215.25389643036701</v>
      </c>
      <c r="T93" s="354">
        <v>216.41025641025638</v>
      </c>
      <c r="U93" s="352">
        <v>258.22978855810294</v>
      </c>
      <c r="V93" s="353">
        <v>249.2246060425195</v>
      </c>
      <c r="W93" s="354">
        <v>254.96151647095041</v>
      </c>
      <c r="X93" s="352">
        <v>281.04051948436262</v>
      </c>
      <c r="Y93" s="353">
        <v>265.18727231515334</v>
      </c>
      <c r="Z93" s="354">
        <v>274.52385979729729</v>
      </c>
      <c r="AA93" s="352">
        <v>578.01961332478959</v>
      </c>
      <c r="AB93" s="353">
        <v>467.08510447786824</v>
      </c>
      <c r="AC93" s="354">
        <v>538.30232558139539</v>
      </c>
      <c r="AD93" s="355">
        <v>378.13033447030125</v>
      </c>
      <c r="AE93" s="356">
        <v>362.32764581314638</v>
      </c>
      <c r="AF93" s="357">
        <v>373.11622728941364</v>
      </c>
      <c r="AH93" s="290"/>
    </row>
    <row r="94" spans="1:34" ht="15" hidden="1" customHeight="1" thickTop="1" x14ac:dyDescent="0.25">
      <c r="B94" s="116" t="s">
        <v>41</v>
      </c>
      <c r="C94" s="358">
        <v>165.38</v>
      </c>
      <c r="D94" s="359">
        <v>165.38</v>
      </c>
      <c r="E94" s="360">
        <v>165.38</v>
      </c>
      <c r="F94" s="358">
        <v>221.13499999999999</v>
      </c>
      <c r="G94" s="359">
        <v>221.13499999999999</v>
      </c>
      <c r="H94" s="360">
        <v>221.13499999999999</v>
      </c>
      <c r="I94" s="358">
        <v>284.94833333333332</v>
      </c>
      <c r="J94" s="359">
        <v>284.94833333333332</v>
      </c>
      <c r="K94" s="360">
        <v>284.94833333333332</v>
      </c>
      <c r="L94" s="358">
        <v>140</v>
      </c>
      <c r="M94" s="359">
        <v>140</v>
      </c>
      <c r="N94" s="360">
        <v>140</v>
      </c>
      <c r="O94" s="358">
        <v>0</v>
      </c>
      <c r="P94" s="359">
        <v>0</v>
      </c>
      <c r="Q94" s="360">
        <v>0</v>
      </c>
      <c r="R94" s="358">
        <v>140</v>
      </c>
      <c r="S94" s="359">
        <v>140</v>
      </c>
      <c r="T94" s="363">
        <v>140</v>
      </c>
      <c r="U94" s="358">
        <v>0</v>
      </c>
      <c r="V94" s="359">
        <v>0</v>
      </c>
      <c r="W94" s="360">
        <v>0</v>
      </c>
      <c r="X94" s="358">
        <v>0</v>
      </c>
      <c r="Y94" s="359">
        <v>0</v>
      </c>
      <c r="Z94" s="360">
        <v>0</v>
      </c>
      <c r="AA94" s="358">
        <v>0</v>
      </c>
      <c r="AB94" s="359">
        <v>0</v>
      </c>
      <c r="AC94" s="360">
        <v>0</v>
      </c>
      <c r="AD94" s="358">
        <v>208.24937771975635</v>
      </c>
      <c r="AE94" s="359">
        <v>208.24937771975635</v>
      </c>
      <c r="AF94" s="117">
        <v>208.24937771975635</v>
      </c>
    </row>
    <row r="95" spans="1:34" ht="14.45" hidden="1" customHeight="1" x14ac:dyDescent="0.25">
      <c r="B95" s="118" t="s">
        <v>42</v>
      </c>
      <c r="C95" s="361">
        <v>0</v>
      </c>
      <c r="D95" s="362">
        <v>0</v>
      </c>
      <c r="E95" s="360">
        <v>0</v>
      </c>
      <c r="F95" s="361">
        <v>181.63407894736838</v>
      </c>
      <c r="G95" s="362">
        <v>181.63407894736838</v>
      </c>
      <c r="H95" s="360">
        <v>181.63407894736838</v>
      </c>
      <c r="I95" s="361">
        <v>191.6905519480521</v>
      </c>
      <c r="J95" s="362">
        <v>191.6905519480521</v>
      </c>
      <c r="K95" s="360">
        <v>191.6905519480521</v>
      </c>
      <c r="L95" s="361">
        <v>150.63555970149255</v>
      </c>
      <c r="M95" s="362">
        <v>150.63555970149255</v>
      </c>
      <c r="N95" s="360">
        <v>150.63555970149255</v>
      </c>
      <c r="O95" s="361">
        <v>122.24137931034483</v>
      </c>
      <c r="P95" s="362">
        <v>122.24137931034483</v>
      </c>
      <c r="Q95" s="360">
        <v>122.24137931034483</v>
      </c>
      <c r="R95" s="361">
        <v>130</v>
      </c>
      <c r="S95" s="362">
        <v>130</v>
      </c>
      <c r="T95" s="360">
        <v>130</v>
      </c>
      <c r="U95" s="361">
        <v>125.76923076923077</v>
      </c>
      <c r="V95" s="362">
        <v>125.76923076923077</v>
      </c>
      <c r="W95" s="360">
        <v>125.76923076923077</v>
      </c>
      <c r="X95" s="361">
        <v>140.625</v>
      </c>
      <c r="Y95" s="362">
        <v>140.625</v>
      </c>
      <c r="Z95" s="360">
        <v>140.625</v>
      </c>
      <c r="AA95" s="361">
        <v>185</v>
      </c>
      <c r="AB95" s="362">
        <v>185</v>
      </c>
      <c r="AC95" s="360">
        <v>185</v>
      </c>
      <c r="AD95" s="361">
        <v>175.76455184810084</v>
      </c>
      <c r="AE95" s="362">
        <v>175.76455184810084</v>
      </c>
      <c r="AF95" s="117">
        <v>175.76455184810084</v>
      </c>
    </row>
    <row r="96" spans="1:34" ht="14.45" hidden="1" customHeight="1" x14ac:dyDescent="0.25">
      <c r="B96" s="118" t="s">
        <v>43</v>
      </c>
      <c r="C96" s="361">
        <v>379.04222222222222</v>
      </c>
      <c r="D96" s="362">
        <v>379.04222222222222</v>
      </c>
      <c r="E96" s="360">
        <v>379.04222222222222</v>
      </c>
      <c r="F96" s="361">
        <v>448.15313984168881</v>
      </c>
      <c r="G96" s="362">
        <v>448.15313984168881</v>
      </c>
      <c r="H96" s="360">
        <v>448.15313984168881</v>
      </c>
      <c r="I96" s="361">
        <v>372.69376407506701</v>
      </c>
      <c r="J96" s="362">
        <v>372.69376407506701</v>
      </c>
      <c r="K96" s="360">
        <v>372.69376407506701</v>
      </c>
      <c r="L96" s="361">
        <v>332.87104972375693</v>
      </c>
      <c r="M96" s="362">
        <v>332.87104972375693</v>
      </c>
      <c r="N96" s="360">
        <v>332.87104972375693</v>
      </c>
      <c r="O96" s="361">
        <v>295.55555555555554</v>
      </c>
      <c r="P96" s="362">
        <v>295.55555555555554</v>
      </c>
      <c r="Q96" s="360">
        <v>295.55555555555554</v>
      </c>
      <c r="R96" s="361">
        <v>315.55555555555554</v>
      </c>
      <c r="S96" s="362">
        <v>315.55555555555554</v>
      </c>
      <c r="T96" s="360">
        <v>315.55555555555554</v>
      </c>
      <c r="U96" s="361">
        <v>311.1320754716981</v>
      </c>
      <c r="V96" s="362">
        <v>311.1320754716981</v>
      </c>
      <c r="W96" s="360">
        <v>311.1320754716981</v>
      </c>
      <c r="X96" s="361">
        <v>304.86486486486484</v>
      </c>
      <c r="Y96" s="362">
        <v>304.86486486486484</v>
      </c>
      <c r="Z96" s="360">
        <v>304.86486486486484</v>
      </c>
      <c r="AA96" s="361">
        <v>500</v>
      </c>
      <c r="AB96" s="362">
        <v>500</v>
      </c>
      <c r="AC96" s="360">
        <v>500</v>
      </c>
      <c r="AD96" s="361">
        <v>364.33644040604298</v>
      </c>
      <c r="AE96" s="362">
        <v>364.33644040604298</v>
      </c>
      <c r="AF96" s="117">
        <v>364.33644040604298</v>
      </c>
    </row>
    <row r="97" spans="2:34" ht="14.45" hidden="1" customHeight="1" x14ac:dyDescent="0.25">
      <c r="B97" s="118" t="s">
        <v>44</v>
      </c>
      <c r="C97" s="361">
        <v>552.58500000000004</v>
      </c>
      <c r="D97" s="362">
        <v>552.58500000000004</v>
      </c>
      <c r="E97" s="360">
        <v>552.58500000000004</v>
      </c>
      <c r="F97" s="361">
        <v>622.24180527383362</v>
      </c>
      <c r="G97" s="362">
        <v>622.24180527383362</v>
      </c>
      <c r="H97" s="360">
        <v>622.24180527383362</v>
      </c>
      <c r="I97" s="361">
        <v>592.91453961456136</v>
      </c>
      <c r="J97" s="362">
        <v>592.91453961456136</v>
      </c>
      <c r="K97" s="360">
        <v>592.91453961456136</v>
      </c>
      <c r="L97" s="361">
        <v>489.81592592592591</v>
      </c>
      <c r="M97" s="362">
        <v>489.81592592592591</v>
      </c>
      <c r="N97" s="360">
        <v>489.81592592592591</v>
      </c>
      <c r="O97" s="361">
        <v>480</v>
      </c>
      <c r="P97" s="362">
        <v>480</v>
      </c>
      <c r="Q97" s="360">
        <v>480</v>
      </c>
      <c r="R97" s="361">
        <v>0</v>
      </c>
      <c r="S97" s="362">
        <v>0</v>
      </c>
      <c r="T97" s="360">
        <v>0</v>
      </c>
      <c r="U97" s="361">
        <v>476.66666666666669</v>
      </c>
      <c r="V97" s="362">
        <v>476.66666666666669</v>
      </c>
      <c r="W97" s="360">
        <v>476.66666666666669</v>
      </c>
      <c r="X97" s="361">
        <v>480</v>
      </c>
      <c r="Y97" s="362">
        <v>480</v>
      </c>
      <c r="Z97" s="360">
        <v>480</v>
      </c>
      <c r="AA97" s="361">
        <v>650</v>
      </c>
      <c r="AB97" s="362">
        <v>650</v>
      </c>
      <c r="AC97" s="360">
        <v>650</v>
      </c>
      <c r="AD97" s="361">
        <v>585.74943481057574</v>
      </c>
      <c r="AE97" s="362">
        <v>585.74943481057574</v>
      </c>
      <c r="AF97" s="117">
        <v>585.74943481057574</v>
      </c>
    </row>
    <row r="98" spans="2:34" ht="14.45" hidden="1" customHeight="1" x14ac:dyDescent="0.25">
      <c r="B98" s="118" t="s">
        <v>45</v>
      </c>
      <c r="C98" s="361">
        <v>814.62</v>
      </c>
      <c r="D98" s="362">
        <v>814.62</v>
      </c>
      <c r="E98" s="360">
        <v>814.62</v>
      </c>
      <c r="F98" s="361">
        <v>765.51181818181828</v>
      </c>
      <c r="G98" s="362">
        <v>765.51181818181828</v>
      </c>
      <c r="H98" s="360">
        <v>765.51181818181828</v>
      </c>
      <c r="I98" s="361">
        <v>739.95090909090914</v>
      </c>
      <c r="J98" s="362">
        <v>739.95090909090914</v>
      </c>
      <c r="K98" s="360">
        <v>739.95090909090914</v>
      </c>
      <c r="L98" s="361">
        <v>590</v>
      </c>
      <c r="M98" s="362">
        <v>590</v>
      </c>
      <c r="N98" s="360">
        <v>590</v>
      </c>
      <c r="O98" s="361">
        <v>0</v>
      </c>
      <c r="P98" s="362">
        <v>0</v>
      </c>
      <c r="Q98" s="360">
        <v>0</v>
      </c>
      <c r="R98" s="361">
        <v>0</v>
      </c>
      <c r="S98" s="362">
        <v>0</v>
      </c>
      <c r="T98" s="360">
        <v>0</v>
      </c>
      <c r="U98" s="361">
        <v>0</v>
      </c>
      <c r="V98" s="362">
        <v>0</v>
      </c>
      <c r="W98" s="360">
        <v>0</v>
      </c>
      <c r="X98" s="361">
        <v>0</v>
      </c>
      <c r="Y98" s="362">
        <v>0</v>
      </c>
      <c r="Z98" s="360">
        <v>0</v>
      </c>
      <c r="AA98" s="361">
        <v>0</v>
      </c>
      <c r="AB98" s="362">
        <v>0</v>
      </c>
      <c r="AC98" s="360">
        <v>0</v>
      </c>
      <c r="AD98" s="361">
        <v>766.64516746411505</v>
      </c>
      <c r="AE98" s="362">
        <v>766.64516746411505</v>
      </c>
      <c r="AF98" s="117">
        <v>766.64516746411505</v>
      </c>
    </row>
    <row r="99" spans="2:34" ht="14.45" hidden="1" customHeight="1" x14ac:dyDescent="0.25">
      <c r="B99" s="328" t="s">
        <v>46</v>
      </c>
      <c r="C99" s="361">
        <v>216.26111801242237</v>
      </c>
      <c r="D99" s="362">
        <v>216.26111801242237</v>
      </c>
      <c r="E99" s="360">
        <v>216.26111801242237</v>
      </c>
      <c r="F99" s="361">
        <v>466.98442359249339</v>
      </c>
      <c r="G99" s="362">
        <v>466.98442359249339</v>
      </c>
      <c r="H99" s="360">
        <v>466.98442359249339</v>
      </c>
      <c r="I99" s="361">
        <v>391.74060971019946</v>
      </c>
      <c r="J99" s="362">
        <v>391.74060971019946</v>
      </c>
      <c r="K99" s="360">
        <v>391.74060971019946</v>
      </c>
      <c r="L99" s="361">
        <v>316.72399671951882</v>
      </c>
      <c r="M99" s="362">
        <v>316.72399671951882</v>
      </c>
      <c r="N99" s="360">
        <v>316.72399671951882</v>
      </c>
      <c r="O99" s="361">
        <v>186.46341463414635</v>
      </c>
      <c r="P99" s="362">
        <v>186.46341463414635</v>
      </c>
      <c r="Q99" s="360">
        <v>186.46341463414635</v>
      </c>
      <c r="R99" s="361">
        <v>269.16666666666669</v>
      </c>
      <c r="S99" s="362">
        <v>269.16666666666669</v>
      </c>
      <c r="T99" s="360">
        <v>269.16666666666669</v>
      </c>
      <c r="U99" s="361">
        <v>283.40579710144925</v>
      </c>
      <c r="V99" s="362">
        <v>283.40579710144925</v>
      </c>
      <c r="W99" s="360">
        <v>283.40579710144925</v>
      </c>
      <c r="X99" s="361">
        <v>280.10869565217394</v>
      </c>
      <c r="Y99" s="362">
        <v>280.10869565217394</v>
      </c>
      <c r="Z99" s="360">
        <v>280.10869565217394</v>
      </c>
      <c r="AA99" s="361">
        <v>542.72058823529414</v>
      </c>
      <c r="AB99" s="362">
        <v>542.72058823529414</v>
      </c>
      <c r="AC99" s="360">
        <v>542.72058823529414</v>
      </c>
      <c r="AD99" s="361">
        <v>278.94194440744013</v>
      </c>
      <c r="AE99" s="362">
        <v>278.94194440744013</v>
      </c>
      <c r="AF99" s="117">
        <v>278.94194440744013</v>
      </c>
    </row>
    <row r="100" spans="2:34" ht="14.45" hidden="1" customHeight="1" x14ac:dyDescent="0.25">
      <c r="B100" s="328" t="s">
        <v>47</v>
      </c>
      <c r="C100" s="119">
        <v>216.26111801242237</v>
      </c>
      <c r="D100" s="120">
        <v>216.26111801242237</v>
      </c>
      <c r="E100" s="121">
        <v>216.26111801242237</v>
      </c>
      <c r="F100" s="119">
        <v>466.98442359249339</v>
      </c>
      <c r="G100" s="120">
        <v>466.98442359249339</v>
      </c>
      <c r="H100" s="121">
        <v>466.98442359249339</v>
      </c>
      <c r="I100" s="119">
        <v>391.74060971019946</v>
      </c>
      <c r="J100" s="120">
        <v>391.74060971019946</v>
      </c>
      <c r="K100" s="121">
        <v>391.74060971019946</v>
      </c>
      <c r="L100" s="119">
        <v>316.72399671951882</v>
      </c>
      <c r="M100" s="120">
        <v>316.72399671951882</v>
      </c>
      <c r="N100" s="121">
        <v>316.72399671951882</v>
      </c>
      <c r="O100" s="119">
        <v>186.46341463414635</v>
      </c>
      <c r="P100" s="120">
        <v>186.46341463414635</v>
      </c>
      <c r="Q100" s="121">
        <v>186.46341463414635</v>
      </c>
      <c r="R100" s="119">
        <v>269.16666666666669</v>
      </c>
      <c r="S100" s="120">
        <v>269.16666666666669</v>
      </c>
      <c r="T100" s="121">
        <v>269.16666666666669</v>
      </c>
      <c r="U100" s="119">
        <v>283.40579710144925</v>
      </c>
      <c r="V100" s="120">
        <v>283.40579710144925</v>
      </c>
      <c r="W100" s="121">
        <v>283.40579710144925</v>
      </c>
      <c r="X100" s="119">
        <v>280.10869565217394</v>
      </c>
      <c r="Y100" s="120">
        <v>280.10869565217394</v>
      </c>
      <c r="Z100" s="121">
        <v>280.10869565217394</v>
      </c>
      <c r="AA100" s="119">
        <v>542.72058823529414</v>
      </c>
      <c r="AB100" s="120">
        <v>542.72058823529414</v>
      </c>
      <c r="AC100" s="121">
        <v>542.72058823529414</v>
      </c>
      <c r="AD100" s="119">
        <v>315.01951018310871</v>
      </c>
      <c r="AE100" s="120">
        <v>315.01951018310871</v>
      </c>
      <c r="AF100" s="117">
        <v>315.01951018310871</v>
      </c>
    </row>
    <row r="101" spans="2:34" ht="14.45" hidden="1" customHeight="1" x14ac:dyDescent="0.25">
      <c r="B101" s="328" t="s">
        <v>48</v>
      </c>
      <c r="C101" s="119">
        <v>216.26111801242237</v>
      </c>
      <c r="D101" s="120">
        <v>216.26111801242237</v>
      </c>
      <c r="E101" s="121">
        <v>216.26111801242237</v>
      </c>
      <c r="F101" s="119">
        <v>466.98442359249339</v>
      </c>
      <c r="G101" s="120">
        <v>466.98442359249339</v>
      </c>
      <c r="H101" s="121">
        <v>466.98442359249339</v>
      </c>
      <c r="I101" s="119">
        <v>391.74060971019946</v>
      </c>
      <c r="J101" s="120">
        <v>391.74060971019946</v>
      </c>
      <c r="K101" s="121">
        <v>391.74060971019946</v>
      </c>
      <c r="L101" s="119">
        <v>316.72399671951882</v>
      </c>
      <c r="M101" s="120">
        <v>316.72399671951882</v>
      </c>
      <c r="N101" s="121">
        <v>316.72399671951882</v>
      </c>
      <c r="O101" s="119">
        <v>186.46341463414635</v>
      </c>
      <c r="P101" s="120">
        <v>186.46341463414635</v>
      </c>
      <c r="Q101" s="121">
        <v>186.46341463414635</v>
      </c>
      <c r="R101" s="119">
        <v>269.16666666666669</v>
      </c>
      <c r="S101" s="120">
        <v>269.16666666666669</v>
      </c>
      <c r="T101" s="121">
        <v>269.16666666666669</v>
      </c>
      <c r="U101" s="119">
        <v>283.40579710144925</v>
      </c>
      <c r="V101" s="120">
        <v>283.40579710144925</v>
      </c>
      <c r="W101" s="121">
        <v>283.40579710144925</v>
      </c>
      <c r="X101" s="119">
        <v>280.10869565217394</v>
      </c>
      <c r="Y101" s="120">
        <v>280.10869565217394</v>
      </c>
      <c r="Z101" s="121">
        <v>280.10869565217394</v>
      </c>
      <c r="AA101" s="119">
        <v>542.72058823529414</v>
      </c>
      <c r="AB101" s="120">
        <v>542.72058823529414</v>
      </c>
      <c r="AC101" s="121">
        <v>542.72058823529414</v>
      </c>
      <c r="AD101" s="119">
        <v>216.26111801242237</v>
      </c>
      <c r="AE101" s="120">
        <v>216.26111801242237</v>
      </c>
      <c r="AF101" s="117">
        <v>216.26111801242237</v>
      </c>
    </row>
    <row r="102" spans="2:34" ht="14.45" hidden="1" customHeight="1" x14ac:dyDescent="0.25">
      <c r="B102" s="328" t="s">
        <v>49</v>
      </c>
      <c r="C102" s="119">
        <v>216.26111801242237</v>
      </c>
      <c r="D102" s="120">
        <v>216.26111801242237</v>
      </c>
      <c r="E102" s="121">
        <v>216.26111801242237</v>
      </c>
      <c r="F102" s="119">
        <v>466.98442359249339</v>
      </c>
      <c r="G102" s="120">
        <v>466.98442359249339</v>
      </c>
      <c r="H102" s="121">
        <v>466.98442359249339</v>
      </c>
      <c r="I102" s="119">
        <v>391.74060971019946</v>
      </c>
      <c r="J102" s="120">
        <v>391.74060971019946</v>
      </c>
      <c r="K102" s="121">
        <v>391.74060971019946</v>
      </c>
      <c r="L102" s="119">
        <v>316.72399671951882</v>
      </c>
      <c r="M102" s="120">
        <v>316.72399671951882</v>
      </c>
      <c r="N102" s="121">
        <v>316.72399671951882</v>
      </c>
      <c r="O102" s="119">
        <v>186.46341463414635</v>
      </c>
      <c r="P102" s="120">
        <v>186.46341463414635</v>
      </c>
      <c r="Q102" s="121">
        <v>186.46341463414635</v>
      </c>
      <c r="R102" s="119">
        <v>269.16666666666669</v>
      </c>
      <c r="S102" s="120">
        <v>269.16666666666669</v>
      </c>
      <c r="T102" s="121">
        <v>269.16666666666669</v>
      </c>
      <c r="U102" s="119">
        <v>283.40579710144925</v>
      </c>
      <c r="V102" s="120">
        <v>283.40579710144925</v>
      </c>
      <c r="W102" s="121">
        <v>283.40579710144925</v>
      </c>
      <c r="X102" s="119">
        <v>280.10869565217394</v>
      </c>
      <c r="Y102" s="120">
        <v>280.10869565217394</v>
      </c>
      <c r="Z102" s="121">
        <v>280.10869565217394</v>
      </c>
      <c r="AA102" s="119">
        <v>542.72058823529414</v>
      </c>
      <c r="AB102" s="120">
        <v>542.72058823529414</v>
      </c>
      <c r="AC102" s="121">
        <v>542.72058823529414</v>
      </c>
      <c r="AD102" s="119">
        <v>0</v>
      </c>
      <c r="AE102" s="120">
        <v>0</v>
      </c>
      <c r="AF102" s="117">
        <v>0</v>
      </c>
    </row>
    <row r="103" spans="2:34" ht="14.45" hidden="1" customHeight="1" x14ac:dyDescent="0.25">
      <c r="B103" s="328" t="s">
        <v>50</v>
      </c>
      <c r="C103" s="119">
        <v>216.26111801242237</v>
      </c>
      <c r="D103" s="120">
        <v>216.26111801242237</v>
      </c>
      <c r="E103" s="121">
        <v>216.26111801242237</v>
      </c>
      <c r="F103" s="119">
        <v>466.98442359249339</v>
      </c>
      <c r="G103" s="120">
        <v>466.98442359249339</v>
      </c>
      <c r="H103" s="121">
        <v>466.98442359249339</v>
      </c>
      <c r="I103" s="119">
        <v>391.74060971019946</v>
      </c>
      <c r="J103" s="120">
        <v>391.74060971019946</v>
      </c>
      <c r="K103" s="121">
        <v>391.74060971019946</v>
      </c>
      <c r="L103" s="119">
        <v>316.72399671951882</v>
      </c>
      <c r="M103" s="120">
        <v>316.72399671951882</v>
      </c>
      <c r="N103" s="121">
        <v>316.72399671951882</v>
      </c>
      <c r="O103" s="119">
        <v>186.46341463414635</v>
      </c>
      <c r="P103" s="120">
        <v>186.46341463414635</v>
      </c>
      <c r="Q103" s="121">
        <v>186.46341463414635</v>
      </c>
      <c r="R103" s="119">
        <v>269.16666666666669</v>
      </c>
      <c r="S103" s="120">
        <v>269.16666666666669</v>
      </c>
      <c r="T103" s="121">
        <v>269.16666666666669</v>
      </c>
      <c r="U103" s="119">
        <v>283.40579710144925</v>
      </c>
      <c r="V103" s="120">
        <v>283.40579710144925</v>
      </c>
      <c r="W103" s="121">
        <v>283.40579710144925</v>
      </c>
      <c r="X103" s="119">
        <v>280.10869565217394</v>
      </c>
      <c r="Y103" s="120">
        <v>280.10869565217394</v>
      </c>
      <c r="Z103" s="121">
        <v>280.10869565217394</v>
      </c>
      <c r="AA103" s="119">
        <v>542.72058823529414</v>
      </c>
      <c r="AB103" s="120">
        <v>542.72058823529414</v>
      </c>
      <c r="AC103" s="121">
        <v>542.72058823529414</v>
      </c>
      <c r="AD103" s="119">
        <v>0</v>
      </c>
      <c r="AE103" s="120">
        <v>0</v>
      </c>
      <c r="AF103" s="117">
        <v>0</v>
      </c>
    </row>
    <row r="104" spans="2:34" ht="15" hidden="1" customHeight="1" thickBot="1" x14ac:dyDescent="0.3">
      <c r="B104" s="329" t="s">
        <v>51</v>
      </c>
      <c r="C104" s="122">
        <v>216.26111801242237</v>
      </c>
      <c r="D104" s="123">
        <v>216.26111801242237</v>
      </c>
      <c r="E104" s="124">
        <v>216.26111801242237</v>
      </c>
      <c r="F104" s="122">
        <v>466.98442359249339</v>
      </c>
      <c r="G104" s="123">
        <v>466.98442359249339</v>
      </c>
      <c r="H104" s="124">
        <v>466.98442359249339</v>
      </c>
      <c r="I104" s="122">
        <v>391.74060971019946</v>
      </c>
      <c r="J104" s="123">
        <v>391.74060971019946</v>
      </c>
      <c r="K104" s="124">
        <v>391.74060971019946</v>
      </c>
      <c r="L104" s="122">
        <v>316.72399671951882</v>
      </c>
      <c r="M104" s="123">
        <v>316.72399671951882</v>
      </c>
      <c r="N104" s="124">
        <v>316.72399671951882</v>
      </c>
      <c r="O104" s="122">
        <v>186.46341463414635</v>
      </c>
      <c r="P104" s="123">
        <v>186.46341463414635</v>
      </c>
      <c r="Q104" s="124">
        <v>186.46341463414635</v>
      </c>
      <c r="R104" s="122">
        <v>269.16666666666669</v>
      </c>
      <c r="S104" s="123">
        <v>269.16666666666669</v>
      </c>
      <c r="T104" s="124">
        <v>269.16666666666669</v>
      </c>
      <c r="U104" s="122">
        <v>283.40579710144925</v>
      </c>
      <c r="V104" s="123">
        <v>283.40579710144925</v>
      </c>
      <c r="W104" s="124">
        <v>283.40579710144925</v>
      </c>
      <c r="X104" s="122">
        <v>280.10869565217394</v>
      </c>
      <c r="Y104" s="123">
        <v>280.10869565217394</v>
      </c>
      <c r="Z104" s="124">
        <v>280.10869565217394</v>
      </c>
      <c r="AA104" s="122">
        <v>542.72058823529414</v>
      </c>
      <c r="AB104" s="123">
        <v>542.72058823529414</v>
      </c>
      <c r="AC104" s="124">
        <v>542.72058823529414</v>
      </c>
      <c r="AD104" s="122">
        <v>316.72399671951877</v>
      </c>
      <c r="AE104" s="123">
        <v>316.72399671951877</v>
      </c>
      <c r="AF104" s="333">
        <v>316.72399671951877</v>
      </c>
    </row>
    <row r="105" spans="2:34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2:34" ht="15.75" thickBot="1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2:34" x14ac:dyDescent="0.25">
      <c r="B107" s="107" t="s">
        <v>63</v>
      </c>
      <c r="C107" s="109">
        <v>2009</v>
      </c>
      <c r="D107" s="110">
        <v>2009</v>
      </c>
      <c r="E107" s="553" t="s">
        <v>212</v>
      </c>
      <c r="F107" s="109">
        <v>2010</v>
      </c>
      <c r="G107" s="110">
        <v>2010</v>
      </c>
      <c r="H107" s="553" t="s">
        <v>213</v>
      </c>
      <c r="I107" s="109">
        <v>2011</v>
      </c>
      <c r="J107" s="110">
        <v>2011</v>
      </c>
      <c r="K107" s="553" t="s">
        <v>214</v>
      </c>
      <c r="L107" s="109">
        <v>2012</v>
      </c>
      <c r="M107" s="110">
        <v>2012</v>
      </c>
      <c r="N107" s="553" t="s">
        <v>215</v>
      </c>
      <c r="O107" s="109">
        <v>2013</v>
      </c>
      <c r="P107" s="110">
        <v>2013</v>
      </c>
      <c r="Q107" s="553" t="s">
        <v>140</v>
      </c>
      <c r="R107" s="109">
        <v>2014</v>
      </c>
      <c r="S107" s="110">
        <v>2014</v>
      </c>
      <c r="T107" s="553" t="s">
        <v>216</v>
      </c>
      <c r="U107" s="109">
        <v>2015</v>
      </c>
      <c r="V107" s="110">
        <v>2015</v>
      </c>
      <c r="W107" s="553" t="s">
        <v>217</v>
      </c>
      <c r="X107" s="109">
        <v>2016</v>
      </c>
      <c r="Y107" s="110">
        <v>2016</v>
      </c>
      <c r="Z107" s="553" t="s">
        <v>218</v>
      </c>
      <c r="AA107" s="109">
        <v>2017</v>
      </c>
      <c r="AB107" s="110">
        <v>2017</v>
      </c>
      <c r="AC107" s="553" t="s">
        <v>219</v>
      </c>
      <c r="AD107" s="551" t="s">
        <v>39</v>
      </c>
      <c r="AE107" s="552"/>
      <c r="AF107" s="547" t="s">
        <v>40</v>
      </c>
    </row>
    <row r="108" spans="2:34" ht="15.75" thickBot="1" x14ac:dyDescent="0.3">
      <c r="B108"/>
      <c r="C108" s="111" t="s">
        <v>36</v>
      </c>
      <c r="D108" s="112" t="s">
        <v>37</v>
      </c>
      <c r="E108" s="554"/>
      <c r="F108" s="111" t="s">
        <v>36</v>
      </c>
      <c r="G108" s="112" t="s">
        <v>37</v>
      </c>
      <c r="H108" s="554"/>
      <c r="I108" s="111" t="s">
        <v>36</v>
      </c>
      <c r="J108" s="112" t="s">
        <v>37</v>
      </c>
      <c r="K108" s="554"/>
      <c r="L108" s="111" t="s">
        <v>36</v>
      </c>
      <c r="M108" s="112" t="s">
        <v>37</v>
      </c>
      <c r="N108" s="554"/>
      <c r="O108" s="111" t="s">
        <v>36</v>
      </c>
      <c r="P108" s="112" t="s">
        <v>37</v>
      </c>
      <c r="Q108" s="554"/>
      <c r="R108" s="111" t="s">
        <v>36</v>
      </c>
      <c r="S108" s="112" t="s">
        <v>37</v>
      </c>
      <c r="T108" s="554"/>
      <c r="U108" s="111" t="s">
        <v>36</v>
      </c>
      <c r="V108" s="112" t="s">
        <v>37</v>
      </c>
      <c r="W108" s="554"/>
      <c r="X108" s="111" t="s">
        <v>36</v>
      </c>
      <c r="Y108" s="112" t="s">
        <v>37</v>
      </c>
      <c r="Z108" s="554"/>
      <c r="AA108" s="111" t="s">
        <v>36</v>
      </c>
      <c r="AB108" s="112" t="s">
        <v>37</v>
      </c>
      <c r="AC108" s="554"/>
      <c r="AD108" s="113" t="s">
        <v>36</v>
      </c>
      <c r="AE108" s="114" t="s">
        <v>37</v>
      </c>
      <c r="AF108" s="548" t="s">
        <v>3</v>
      </c>
    </row>
    <row r="109" spans="2:34" ht="15.75" thickBot="1" x14ac:dyDescent="0.3">
      <c r="B109" s="115" t="s">
        <v>135</v>
      </c>
      <c r="C109" s="125">
        <f>C110+C111+C112+C113+C114+C115+C116+C117+C118+C119+C120</f>
        <v>42282</v>
      </c>
      <c r="D109" s="125">
        <f>D110+D111+D112+D113+D114+D115+D116+D117+D118+D119+D120</f>
        <v>7603</v>
      </c>
      <c r="E109" s="127">
        <f>C109+D109</f>
        <v>49885</v>
      </c>
      <c r="F109" s="125">
        <f>F110+F111+F112+F113+F114+F115+F116+F117+F118+F119+F120</f>
        <v>281720</v>
      </c>
      <c r="G109" s="125">
        <f>G110+G111+G112+G113+G114+G115+G116+G117+G118+G119+G120</f>
        <v>186821</v>
      </c>
      <c r="H109" s="127">
        <f>F109+G109</f>
        <v>468541</v>
      </c>
      <c r="I109" s="125">
        <f>I110+I111+I112+I113+I115+I118+I120</f>
        <v>841668</v>
      </c>
      <c r="J109" s="125">
        <f>J110+J111+J112+J113+J115+J118+J120</f>
        <v>321221</v>
      </c>
      <c r="K109" s="127">
        <f>I109+J109</f>
        <v>1162889</v>
      </c>
      <c r="L109" s="125">
        <f>L110+L111+L112+L113+L114+L115+L116+L117+L118+L119+L120</f>
        <v>411949</v>
      </c>
      <c r="M109" s="125">
        <f>M110+M111+M112+M113+M114+M115+M116+M117+M118+M119+M120</f>
        <v>460995</v>
      </c>
      <c r="N109" s="127">
        <f>L109+M109</f>
        <v>872944</v>
      </c>
      <c r="O109" s="125">
        <f>O110+O111+O112+O113+O114+O115+O116+O117+O118+O119+O120</f>
        <v>8143</v>
      </c>
      <c r="P109" s="125">
        <f>P110+P111+P112+P113+P114+P115+P116+P117+P118+P119+P120</f>
        <v>5868</v>
      </c>
      <c r="Q109" s="127">
        <f>O109+P109</f>
        <v>14011</v>
      </c>
      <c r="R109" s="125">
        <f>R110+R111+R112+R113+R114+R115+R116+R117+R118+R119+R120</f>
        <v>3952</v>
      </c>
      <c r="S109" s="125">
        <f>S110+S111+S112+S113+S114+S115+S116+S117+S118+S119+S120</f>
        <v>2530</v>
      </c>
      <c r="T109" s="127">
        <f>R109+S109</f>
        <v>6482</v>
      </c>
      <c r="U109" s="125">
        <f>U110+U111+U112+U113+U114+U115+U116+U117+U118+U119+U120</f>
        <v>12524</v>
      </c>
      <c r="V109" s="125">
        <f>V110+V111+V112+V113+V114+V115+V116+V117+V118+V119+V120</f>
        <v>7441</v>
      </c>
      <c r="W109" s="127">
        <f>U109+V109</f>
        <v>19965</v>
      </c>
      <c r="X109" s="125">
        <f>X110+X111+X112+X113+X114+X116+X115+X117+X118+X119+X120</f>
        <v>7314</v>
      </c>
      <c r="Y109" s="125">
        <f>Y110+Y111+Y112+Y113+Y114+Y116+Y115+Y117+Y118+Y119+Y120</f>
        <v>3437</v>
      </c>
      <c r="Z109" s="127">
        <f>X109+Y109</f>
        <v>10751</v>
      </c>
      <c r="AA109" s="125">
        <f>AA110+AA111+AA112+AA113+AA114+AA116+AA115+AA117+AA118+AA119+AA120</f>
        <v>93002</v>
      </c>
      <c r="AB109" s="125">
        <f>AB110+AB111+AB112+AB113+AB114+AB116+AB115+AB117+AB118+AB119+AB120</f>
        <v>46837</v>
      </c>
      <c r="AC109" s="127">
        <f>AA109+AB109</f>
        <v>139839</v>
      </c>
      <c r="AD109" s="325">
        <f>C109+F109+I109+L109+O109+R109+U109+X109+AA109</f>
        <v>1702554</v>
      </c>
      <c r="AE109" s="326">
        <f>D109+G109+J109+M109+P109+S109+V109+Y109+AB109</f>
        <v>1042753</v>
      </c>
      <c r="AF109" s="327">
        <f>AD109+AE109</f>
        <v>2745307</v>
      </c>
      <c r="AH109" s="290"/>
    </row>
    <row r="110" spans="2:34" ht="16.5" thickTop="1" thickBot="1" x14ac:dyDescent="0.3">
      <c r="B110" s="116" t="s">
        <v>41</v>
      </c>
      <c r="C110" s="472">
        <v>21333</v>
      </c>
      <c r="D110" s="476">
        <v>4502</v>
      </c>
      <c r="E110" s="478">
        <f t="shared" ref="E110:E120" si="29">C110+D110</f>
        <v>25835</v>
      </c>
      <c r="F110" s="472">
        <v>2333</v>
      </c>
      <c r="G110" s="476">
        <v>203</v>
      </c>
      <c r="H110" s="478">
        <f t="shared" ref="H110:H120" si="30">F110+G110</f>
        <v>2536</v>
      </c>
      <c r="I110" s="472">
        <v>42303</v>
      </c>
      <c r="J110" s="476">
        <v>4556</v>
      </c>
      <c r="K110" s="478">
        <f t="shared" ref="K110:K120" si="31">I110+J110</f>
        <v>46859</v>
      </c>
      <c r="L110" s="472">
        <v>4505</v>
      </c>
      <c r="M110" s="476">
        <v>2003</v>
      </c>
      <c r="N110" s="478">
        <f t="shared" ref="N110:N120" si="32">L110+M110</f>
        <v>6508</v>
      </c>
      <c r="O110" s="128">
        <v>0</v>
      </c>
      <c r="P110" s="129">
        <v>0</v>
      </c>
      <c r="Q110" s="478">
        <f t="shared" ref="Q110:Q120" si="33">O110+P110</f>
        <v>0</v>
      </c>
      <c r="R110" s="472">
        <v>208</v>
      </c>
      <c r="S110" s="476">
        <v>66</v>
      </c>
      <c r="T110" s="478">
        <f t="shared" ref="T110:T120" si="34">R110+S110</f>
        <v>274</v>
      </c>
      <c r="U110" s="128">
        <v>0</v>
      </c>
      <c r="V110" s="129">
        <v>0</v>
      </c>
      <c r="W110" s="478">
        <f t="shared" ref="W110:W120" si="35">U110+V110</f>
        <v>0</v>
      </c>
      <c r="X110" s="128">
        <v>0</v>
      </c>
      <c r="Y110" s="129">
        <v>0</v>
      </c>
      <c r="Z110" s="478">
        <f t="shared" ref="Z110:Z120" si="36">X110+Y110</f>
        <v>0</v>
      </c>
      <c r="AA110" s="128">
        <v>0</v>
      </c>
      <c r="AB110" s="129">
        <v>0</v>
      </c>
      <c r="AC110" s="478">
        <f t="shared" ref="AC110:AC120" si="37">AA110+AB110</f>
        <v>0</v>
      </c>
      <c r="AD110" s="325">
        <f t="shared" ref="AD110:AD120" si="38">C110+F110+I110+L110+O110+R110+U110+X110+AA110</f>
        <v>70682</v>
      </c>
      <c r="AE110" s="326">
        <f t="shared" ref="AE110:AE120" si="39">D110+G110+J110+M110+P110+S110+V110+Y110+AB110</f>
        <v>11330</v>
      </c>
      <c r="AF110" s="327">
        <f t="shared" ref="AF110:AF120" si="40">AD110+AE110</f>
        <v>82012</v>
      </c>
    </row>
    <row r="111" spans="2:34" ht="16.5" thickTop="1" thickBot="1" x14ac:dyDescent="0.3">
      <c r="B111" s="118" t="s">
        <v>42</v>
      </c>
      <c r="C111" s="473">
        <v>0</v>
      </c>
      <c r="D111" s="475">
        <v>0</v>
      </c>
      <c r="E111" s="478">
        <f t="shared" si="29"/>
        <v>0</v>
      </c>
      <c r="F111" s="473">
        <v>21666</v>
      </c>
      <c r="G111" s="475">
        <v>13205</v>
      </c>
      <c r="H111" s="478">
        <f t="shared" si="30"/>
        <v>34871</v>
      </c>
      <c r="I111" s="473">
        <v>55200</v>
      </c>
      <c r="J111" s="475">
        <v>21555</v>
      </c>
      <c r="K111" s="478">
        <f t="shared" si="31"/>
        <v>76755</v>
      </c>
      <c r="L111" s="473">
        <v>14203</v>
      </c>
      <c r="M111" s="475">
        <v>5603</v>
      </c>
      <c r="N111" s="478">
        <f t="shared" si="32"/>
        <v>19806</v>
      </c>
      <c r="O111" s="473">
        <v>1405</v>
      </c>
      <c r="P111" s="475">
        <v>2005</v>
      </c>
      <c r="Q111" s="478">
        <f t="shared" si="33"/>
        <v>3410</v>
      </c>
      <c r="R111" s="473">
        <v>633</v>
      </c>
      <c r="S111" s="475">
        <v>455</v>
      </c>
      <c r="T111" s="478">
        <f t="shared" si="34"/>
        <v>1088</v>
      </c>
      <c r="U111" s="473">
        <v>1302</v>
      </c>
      <c r="V111" s="475">
        <v>1119</v>
      </c>
      <c r="W111" s="478">
        <f t="shared" si="35"/>
        <v>2421</v>
      </c>
      <c r="X111" s="473">
        <v>666</v>
      </c>
      <c r="Y111" s="475">
        <v>233</v>
      </c>
      <c r="Z111" s="478">
        <f t="shared" si="36"/>
        <v>899</v>
      </c>
      <c r="AA111" s="473">
        <v>1103</v>
      </c>
      <c r="AB111" s="475">
        <v>6302</v>
      </c>
      <c r="AC111" s="478">
        <f t="shared" si="37"/>
        <v>7405</v>
      </c>
      <c r="AD111" s="325">
        <f t="shared" si="38"/>
        <v>96178</v>
      </c>
      <c r="AE111" s="326">
        <f t="shared" si="39"/>
        <v>50477</v>
      </c>
      <c r="AF111" s="327">
        <f t="shared" si="40"/>
        <v>146655</v>
      </c>
    </row>
    <row r="112" spans="2:34" ht="16.5" thickTop="1" thickBot="1" x14ac:dyDescent="0.3">
      <c r="B112" s="118" t="s">
        <v>43</v>
      </c>
      <c r="C112" s="473">
        <v>563</v>
      </c>
      <c r="D112" s="475">
        <v>403</v>
      </c>
      <c r="E112" s="478">
        <f t="shared" si="29"/>
        <v>966</v>
      </c>
      <c r="F112" s="473">
        <v>122111</v>
      </c>
      <c r="G112" s="475">
        <v>22599</v>
      </c>
      <c r="H112" s="478">
        <f t="shared" si="30"/>
        <v>144710</v>
      </c>
      <c r="I112" s="473">
        <v>703566</v>
      </c>
      <c r="J112" s="475">
        <v>205777</v>
      </c>
      <c r="K112" s="478">
        <f t="shared" si="31"/>
        <v>909343</v>
      </c>
      <c r="L112" s="473">
        <v>305666</v>
      </c>
      <c r="M112" s="475">
        <v>401555</v>
      </c>
      <c r="N112" s="478">
        <f t="shared" si="32"/>
        <v>707221</v>
      </c>
      <c r="O112" s="473">
        <v>6333</v>
      </c>
      <c r="P112" s="475">
        <v>3655</v>
      </c>
      <c r="Q112" s="478">
        <f t="shared" si="33"/>
        <v>9988</v>
      </c>
      <c r="R112" s="473">
        <v>3111</v>
      </c>
      <c r="S112" s="475">
        <v>2009</v>
      </c>
      <c r="T112" s="478">
        <f t="shared" si="34"/>
        <v>5120</v>
      </c>
      <c r="U112" s="473">
        <v>11222</v>
      </c>
      <c r="V112" s="475">
        <v>6322</v>
      </c>
      <c r="W112" s="478">
        <f t="shared" si="35"/>
        <v>17544</v>
      </c>
      <c r="X112" s="473">
        <v>5893</v>
      </c>
      <c r="Y112" s="475">
        <v>3204</v>
      </c>
      <c r="Z112" s="478">
        <f t="shared" si="36"/>
        <v>9097</v>
      </c>
      <c r="AA112" s="473">
        <v>13566</v>
      </c>
      <c r="AB112" s="475">
        <v>7330</v>
      </c>
      <c r="AC112" s="478">
        <f t="shared" si="37"/>
        <v>20896</v>
      </c>
      <c r="AD112" s="325">
        <f t="shared" si="38"/>
        <v>1172031</v>
      </c>
      <c r="AE112" s="326">
        <f t="shared" si="39"/>
        <v>652854</v>
      </c>
      <c r="AF112" s="327">
        <f t="shared" si="40"/>
        <v>1824885</v>
      </c>
    </row>
    <row r="113" spans="2:32" ht="16.5" thickTop="1" thickBot="1" x14ac:dyDescent="0.3">
      <c r="B113" s="118" t="s">
        <v>44</v>
      </c>
      <c r="C113" s="473">
        <v>403</v>
      </c>
      <c r="D113" s="475">
        <v>0</v>
      </c>
      <c r="E113" s="478">
        <f t="shared" si="29"/>
        <v>403</v>
      </c>
      <c r="F113" s="473">
        <v>114506</v>
      </c>
      <c r="G113" s="475">
        <v>29603</v>
      </c>
      <c r="H113" s="478">
        <f t="shared" si="30"/>
        <v>144109</v>
      </c>
      <c r="I113" s="473">
        <v>40599</v>
      </c>
      <c r="J113" s="475">
        <v>89333</v>
      </c>
      <c r="K113" s="478">
        <f t="shared" si="31"/>
        <v>129932</v>
      </c>
      <c r="L113" s="473">
        <v>75866</v>
      </c>
      <c r="M113" s="475">
        <v>31566</v>
      </c>
      <c r="N113" s="478">
        <f t="shared" si="32"/>
        <v>107432</v>
      </c>
      <c r="O113" s="473">
        <v>405</v>
      </c>
      <c r="P113" s="475">
        <v>208</v>
      </c>
      <c r="Q113" s="478">
        <f t="shared" si="33"/>
        <v>613</v>
      </c>
      <c r="R113" s="133">
        <v>0</v>
      </c>
      <c r="S113" s="134">
        <v>0</v>
      </c>
      <c r="T113" s="478">
        <f t="shared" si="34"/>
        <v>0</v>
      </c>
      <c r="U113" s="133">
        <v>0</v>
      </c>
      <c r="V113" s="134">
        <v>0</v>
      </c>
      <c r="W113" s="478">
        <f t="shared" si="35"/>
        <v>0</v>
      </c>
      <c r="X113" s="473">
        <v>755</v>
      </c>
      <c r="Y113" s="134">
        <v>0</v>
      </c>
      <c r="Z113" s="478">
        <f t="shared" si="36"/>
        <v>755</v>
      </c>
      <c r="AA113" s="473">
        <v>78333</v>
      </c>
      <c r="AB113" s="475">
        <v>33205</v>
      </c>
      <c r="AC113" s="478">
        <f t="shared" si="37"/>
        <v>111538</v>
      </c>
      <c r="AD113" s="325">
        <f t="shared" si="38"/>
        <v>310867</v>
      </c>
      <c r="AE113" s="326">
        <f t="shared" si="39"/>
        <v>183915</v>
      </c>
      <c r="AF113" s="327">
        <f t="shared" si="40"/>
        <v>494782</v>
      </c>
    </row>
    <row r="114" spans="2:32" ht="16.5" thickTop="1" thickBot="1" x14ac:dyDescent="0.3">
      <c r="B114" s="118" t="s">
        <v>45</v>
      </c>
      <c r="C114" s="473">
        <v>2033</v>
      </c>
      <c r="D114" s="475">
        <v>188</v>
      </c>
      <c r="E114" s="478">
        <f t="shared" si="29"/>
        <v>2221</v>
      </c>
      <c r="F114" s="473">
        <v>7899</v>
      </c>
      <c r="G114" s="475">
        <v>2008</v>
      </c>
      <c r="H114" s="478">
        <f t="shared" si="30"/>
        <v>9907</v>
      </c>
      <c r="I114" s="473">
        <v>2033</v>
      </c>
      <c r="J114" s="475">
        <v>405</v>
      </c>
      <c r="K114" s="478">
        <f t="shared" si="31"/>
        <v>2438</v>
      </c>
      <c r="L114" s="473">
        <v>0</v>
      </c>
      <c r="M114" s="475">
        <v>0</v>
      </c>
      <c r="N114" s="478">
        <f t="shared" si="32"/>
        <v>0</v>
      </c>
      <c r="O114" s="133">
        <v>0</v>
      </c>
      <c r="P114" s="134">
        <v>0</v>
      </c>
      <c r="Q114" s="478">
        <f t="shared" si="33"/>
        <v>0</v>
      </c>
      <c r="R114" s="133">
        <v>0</v>
      </c>
      <c r="S114" s="134">
        <v>0</v>
      </c>
      <c r="T114" s="478">
        <f t="shared" si="34"/>
        <v>0</v>
      </c>
      <c r="U114" s="133">
        <v>0</v>
      </c>
      <c r="V114" s="134">
        <v>0</v>
      </c>
      <c r="W114" s="478">
        <f t="shared" si="35"/>
        <v>0</v>
      </c>
      <c r="X114" s="133">
        <v>0</v>
      </c>
      <c r="Y114" s="134">
        <v>0</v>
      </c>
      <c r="Z114" s="478">
        <f t="shared" si="36"/>
        <v>0</v>
      </c>
      <c r="AA114" s="133">
        <v>0</v>
      </c>
      <c r="AB114" s="134">
        <v>0</v>
      </c>
      <c r="AC114" s="478">
        <f t="shared" si="37"/>
        <v>0</v>
      </c>
      <c r="AD114" s="325">
        <f t="shared" si="38"/>
        <v>11965</v>
      </c>
      <c r="AE114" s="326">
        <f t="shared" si="39"/>
        <v>2601</v>
      </c>
      <c r="AF114" s="327">
        <f t="shared" si="40"/>
        <v>14566</v>
      </c>
    </row>
    <row r="115" spans="2:32" ht="16.5" thickTop="1" thickBot="1" x14ac:dyDescent="0.3">
      <c r="B115" s="328" t="s">
        <v>46</v>
      </c>
      <c r="C115" s="473">
        <v>3506</v>
      </c>
      <c r="D115" s="475">
        <v>0</v>
      </c>
      <c r="E115" s="478">
        <f t="shared" si="29"/>
        <v>3506</v>
      </c>
      <c r="F115" s="473">
        <v>2005</v>
      </c>
      <c r="G115" s="475">
        <v>0</v>
      </c>
      <c r="H115" s="478">
        <f t="shared" si="30"/>
        <v>2005</v>
      </c>
      <c r="I115" s="473">
        <v>0</v>
      </c>
      <c r="J115" s="475">
        <v>0</v>
      </c>
      <c r="K115" s="478">
        <f t="shared" si="31"/>
        <v>0</v>
      </c>
      <c r="L115" s="473">
        <v>0</v>
      </c>
      <c r="M115" s="475">
        <v>0</v>
      </c>
      <c r="N115" s="478">
        <f t="shared" si="32"/>
        <v>0</v>
      </c>
      <c r="O115" s="133">
        <v>0</v>
      </c>
      <c r="P115" s="134">
        <v>0</v>
      </c>
      <c r="Q115" s="478">
        <f t="shared" si="33"/>
        <v>0</v>
      </c>
      <c r="R115" s="133">
        <v>0</v>
      </c>
      <c r="S115" s="134">
        <v>0</v>
      </c>
      <c r="T115" s="478">
        <f t="shared" si="34"/>
        <v>0</v>
      </c>
      <c r="U115" s="133">
        <v>0</v>
      </c>
      <c r="V115" s="134">
        <v>0</v>
      </c>
      <c r="W115" s="478">
        <f t="shared" si="35"/>
        <v>0</v>
      </c>
      <c r="X115" s="133">
        <v>0</v>
      </c>
      <c r="Y115" s="134">
        <v>0</v>
      </c>
      <c r="Z115" s="478">
        <f t="shared" si="36"/>
        <v>0</v>
      </c>
      <c r="AA115" s="133">
        <v>0</v>
      </c>
      <c r="AB115" s="134">
        <v>0</v>
      </c>
      <c r="AC115" s="478">
        <f t="shared" si="37"/>
        <v>0</v>
      </c>
      <c r="AD115" s="325">
        <f t="shared" si="38"/>
        <v>5511</v>
      </c>
      <c r="AE115" s="326">
        <f t="shared" si="39"/>
        <v>0</v>
      </c>
      <c r="AF115" s="327">
        <f t="shared" si="40"/>
        <v>5511</v>
      </c>
    </row>
    <row r="116" spans="2:32" ht="16.5" thickTop="1" thickBot="1" x14ac:dyDescent="0.3">
      <c r="B116" s="328" t="s">
        <v>47</v>
      </c>
      <c r="C116" s="473">
        <v>12333</v>
      </c>
      <c r="D116" s="475">
        <v>2055</v>
      </c>
      <c r="E116" s="478">
        <f t="shared" si="29"/>
        <v>14388</v>
      </c>
      <c r="F116" s="473">
        <v>11200</v>
      </c>
      <c r="G116" s="475">
        <v>119203</v>
      </c>
      <c r="H116" s="478">
        <f t="shared" si="30"/>
        <v>130403</v>
      </c>
      <c r="I116" s="473">
        <v>11022</v>
      </c>
      <c r="J116" s="475">
        <v>1505</v>
      </c>
      <c r="K116" s="478">
        <f t="shared" si="31"/>
        <v>12527</v>
      </c>
      <c r="L116" s="473">
        <v>203</v>
      </c>
      <c r="M116" s="475">
        <v>405</v>
      </c>
      <c r="N116" s="478">
        <f t="shared" si="32"/>
        <v>608</v>
      </c>
      <c r="O116" s="133">
        <v>0</v>
      </c>
      <c r="P116" s="134">
        <v>0</v>
      </c>
      <c r="Q116" s="478">
        <f t="shared" si="33"/>
        <v>0</v>
      </c>
      <c r="R116" s="133">
        <v>0</v>
      </c>
      <c r="S116" s="134">
        <v>0</v>
      </c>
      <c r="T116" s="478">
        <f t="shared" si="34"/>
        <v>0</v>
      </c>
      <c r="U116" s="133">
        <v>0</v>
      </c>
      <c r="V116" s="134">
        <v>0</v>
      </c>
      <c r="W116" s="478">
        <f t="shared" si="35"/>
        <v>0</v>
      </c>
      <c r="X116" s="133">
        <v>0</v>
      </c>
      <c r="Y116" s="134">
        <v>0</v>
      </c>
      <c r="Z116" s="478">
        <f t="shared" si="36"/>
        <v>0</v>
      </c>
      <c r="AA116" s="133">
        <v>0</v>
      </c>
      <c r="AB116" s="134">
        <v>0</v>
      </c>
      <c r="AC116" s="478">
        <f t="shared" si="37"/>
        <v>0</v>
      </c>
      <c r="AD116" s="325">
        <f t="shared" si="38"/>
        <v>34758</v>
      </c>
      <c r="AE116" s="326">
        <f t="shared" si="39"/>
        <v>123168</v>
      </c>
      <c r="AF116" s="327">
        <f t="shared" si="40"/>
        <v>157926</v>
      </c>
    </row>
    <row r="117" spans="2:32" ht="16.5" thickTop="1" thickBot="1" x14ac:dyDescent="0.3">
      <c r="B117" s="328" t="s">
        <v>48</v>
      </c>
      <c r="C117" s="473">
        <v>2111</v>
      </c>
      <c r="D117" s="475">
        <v>455</v>
      </c>
      <c r="E117" s="478">
        <f t="shared" si="29"/>
        <v>2566</v>
      </c>
      <c r="F117" s="473">
        <v>0</v>
      </c>
      <c r="G117" s="475">
        <v>0</v>
      </c>
      <c r="H117" s="478">
        <f t="shared" si="30"/>
        <v>0</v>
      </c>
      <c r="I117" s="473">
        <v>0</v>
      </c>
      <c r="J117" s="475">
        <v>0</v>
      </c>
      <c r="K117" s="478">
        <f t="shared" si="31"/>
        <v>0</v>
      </c>
      <c r="L117" s="473">
        <v>0</v>
      </c>
      <c r="M117" s="475">
        <v>0</v>
      </c>
      <c r="N117" s="478">
        <f t="shared" si="32"/>
        <v>0</v>
      </c>
      <c r="O117" s="133">
        <v>0</v>
      </c>
      <c r="P117" s="134">
        <v>0</v>
      </c>
      <c r="Q117" s="478">
        <f t="shared" si="33"/>
        <v>0</v>
      </c>
      <c r="R117" s="133">
        <v>0</v>
      </c>
      <c r="S117" s="134">
        <v>0</v>
      </c>
      <c r="T117" s="478">
        <f t="shared" si="34"/>
        <v>0</v>
      </c>
      <c r="U117" s="133">
        <v>0</v>
      </c>
      <c r="V117" s="134">
        <v>0</v>
      </c>
      <c r="W117" s="478">
        <f t="shared" si="35"/>
        <v>0</v>
      </c>
      <c r="X117" s="133">
        <v>0</v>
      </c>
      <c r="Y117" s="134">
        <v>0</v>
      </c>
      <c r="Z117" s="478">
        <f t="shared" si="36"/>
        <v>0</v>
      </c>
      <c r="AA117" s="133">
        <v>0</v>
      </c>
      <c r="AB117" s="134">
        <v>0</v>
      </c>
      <c r="AC117" s="478">
        <f t="shared" si="37"/>
        <v>0</v>
      </c>
      <c r="AD117" s="325">
        <f t="shared" si="38"/>
        <v>2111</v>
      </c>
      <c r="AE117" s="326">
        <f t="shared" si="39"/>
        <v>455</v>
      </c>
      <c r="AF117" s="327">
        <f t="shared" si="40"/>
        <v>2566</v>
      </c>
    </row>
    <row r="118" spans="2:32" ht="16.5" thickTop="1" thickBot="1" x14ac:dyDescent="0.3">
      <c r="B118" s="328" t="s">
        <v>49</v>
      </c>
      <c r="C118" s="473">
        <v>0</v>
      </c>
      <c r="D118" s="475">
        <v>0</v>
      </c>
      <c r="E118" s="478">
        <f t="shared" si="29"/>
        <v>0</v>
      </c>
      <c r="F118" s="473">
        <v>0</v>
      </c>
      <c r="G118" s="475">
        <v>0</v>
      </c>
      <c r="H118" s="478">
        <f t="shared" si="30"/>
        <v>0</v>
      </c>
      <c r="I118" s="473">
        <v>0</v>
      </c>
      <c r="J118" s="475">
        <v>0</v>
      </c>
      <c r="K118" s="478">
        <f t="shared" si="31"/>
        <v>0</v>
      </c>
      <c r="L118" s="473">
        <v>0</v>
      </c>
      <c r="M118" s="475">
        <v>0</v>
      </c>
      <c r="N118" s="478">
        <f t="shared" si="32"/>
        <v>0</v>
      </c>
      <c r="O118" s="133">
        <v>0</v>
      </c>
      <c r="P118" s="134">
        <v>0</v>
      </c>
      <c r="Q118" s="478">
        <f t="shared" si="33"/>
        <v>0</v>
      </c>
      <c r="R118" s="133">
        <v>0</v>
      </c>
      <c r="S118" s="134">
        <v>0</v>
      </c>
      <c r="T118" s="478">
        <f t="shared" si="34"/>
        <v>0</v>
      </c>
      <c r="U118" s="133">
        <v>0</v>
      </c>
      <c r="V118" s="134">
        <v>0</v>
      </c>
      <c r="W118" s="478">
        <f t="shared" si="35"/>
        <v>0</v>
      </c>
      <c r="X118" s="133">
        <v>0</v>
      </c>
      <c r="Y118" s="134">
        <v>0</v>
      </c>
      <c r="Z118" s="478">
        <f t="shared" si="36"/>
        <v>0</v>
      </c>
      <c r="AA118" s="133">
        <v>0</v>
      </c>
      <c r="AB118" s="134">
        <v>0</v>
      </c>
      <c r="AC118" s="478">
        <f t="shared" si="37"/>
        <v>0</v>
      </c>
      <c r="AD118" s="325">
        <f t="shared" si="38"/>
        <v>0</v>
      </c>
      <c r="AE118" s="326">
        <f t="shared" si="39"/>
        <v>0</v>
      </c>
      <c r="AF118" s="327">
        <f t="shared" si="40"/>
        <v>0</v>
      </c>
    </row>
    <row r="119" spans="2:32" ht="16.5" thickTop="1" thickBot="1" x14ac:dyDescent="0.3">
      <c r="B119" s="328" t="s">
        <v>50</v>
      </c>
      <c r="C119" s="473">
        <v>0</v>
      </c>
      <c r="D119" s="475">
        <v>0</v>
      </c>
      <c r="E119" s="478">
        <f t="shared" si="29"/>
        <v>0</v>
      </c>
      <c r="F119" s="473">
        <v>0</v>
      </c>
      <c r="G119" s="475">
        <v>0</v>
      </c>
      <c r="H119" s="478">
        <f t="shared" si="30"/>
        <v>0</v>
      </c>
      <c r="I119" s="473">
        <v>0</v>
      </c>
      <c r="J119" s="475">
        <v>0</v>
      </c>
      <c r="K119" s="478">
        <f t="shared" si="31"/>
        <v>0</v>
      </c>
      <c r="L119" s="473">
        <v>0</v>
      </c>
      <c r="M119" s="475">
        <v>0</v>
      </c>
      <c r="N119" s="478">
        <f t="shared" si="32"/>
        <v>0</v>
      </c>
      <c r="O119" s="133">
        <v>0</v>
      </c>
      <c r="P119" s="134">
        <v>0</v>
      </c>
      <c r="Q119" s="478">
        <f t="shared" si="33"/>
        <v>0</v>
      </c>
      <c r="R119" s="133">
        <v>0</v>
      </c>
      <c r="S119" s="134">
        <v>0</v>
      </c>
      <c r="T119" s="478">
        <f t="shared" si="34"/>
        <v>0</v>
      </c>
      <c r="U119" s="133">
        <v>0</v>
      </c>
      <c r="V119" s="134">
        <v>0</v>
      </c>
      <c r="W119" s="478">
        <f t="shared" si="35"/>
        <v>0</v>
      </c>
      <c r="X119" s="133">
        <v>0</v>
      </c>
      <c r="Y119" s="134">
        <v>0</v>
      </c>
      <c r="Z119" s="478">
        <f t="shared" si="36"/>
        <v>0</v>
      </c>
      <c r="AA119" s="133">
        <v>0</v>
      </c>
      <c r="AB119" s="134">
        <v>0</v>
      </c>
      <c r="AC119" s="478">
        <f t="shared" si="37"/>
        <v>0</v>
      </c>
      <c r="AD119" s="325">
        <f t="shared" si="38"/>
        <v>0</v>
      </c>
      <c r="AE119" s="326">
        <f t="shared" si="39"/>
        <v>0</v>
      </c>
      <c r="AF119" s="327">
        <f t="shared" si="40"/>
        <v>0</v>
      </c>
    </row>
    <row r="120" spans="2:32" ht="16.5" thickTop="1" thickBot="1" x14ac:dyDescent="0.3">
      <c r="B120" s="329" t="s">
        <v>51</v>
      </c>
      <c r="C120" s="484">
        <v>0</v>
      </c>
      <c r="D120" s="485">
        <v>0</v>
      </c>
      <c r="E120" s="478">
        <f t="shared" si="29"/>
        <v>0</v>
      </c>
      <c r="F120" s="484">
        <v>0</v>
      </c>
      <c r="G120" s="485">
        <v>0</v>
      </c>
      <c r="H120" s="478">
        <f t="shared" si="30"/>
        <v>0</v>
      </c>
      <c r="I120" s="484">
        <v>0</v>
      </c>
      <c r="J120" s="485">
        <v>0</v>
      </c>
      <c r="K120" s="478">
        <f t="shared" si="31"/>
        <v>0</v>
      </c>
      <c r="L120" s="484">
        <v>11506</v>
      </c>
      <c r="M120" s="485">
        <v>19863</v>
      </c>
      <c r="N120" s="478">
        <f t="shared" si="32"/>
        <v>31369</v>
      </c>
      <c r="O120" s="136">
        <v>0</v>
      </c>
      <c r="P120" s="137">
        <v>0</v>
      </c>
      <c r="Q120" s="478">
        <f t="shared" si="33"/>
        <v>0</v>
      </c>
      <c r="R120" s="136">
        <v>0</v>
      </c>
      <c r="S120" s="137">
        <v>0</v>
      </c>
      <c r="T120" s="478">
        <f t="shared" si="34"/>
        <v>0</v>
      </c>
      <c r="U120" s="136">
        <v>0</v>
      </c>
      <c r="V120" s="137">
        <v>0</v>
      </c>
      <c r="W120" s="478">
        <f t="shared" si="35"/>
        <v>0</v>
      </c>
      <c r="X120" s="136">
        <v>0</v>
      </c>
      <c r="Y120" s="137">
        <v>0</v>
      </c>
      <c r="Z120" s="478">
        <f t="shared" si="36"/>
        <v>0</v>
      </c>
      <c r="AA120" s="136">
        <v>0</v>
      </c>
      <c r="AB120" s="137">
        <v>0</v>
      </c>
      <c r="AC120" s="478">
        <f t="shared" si="37"/>
        <v>0</v>
      </c>
      <c r="AD120" s="325">
        <f t="shared" si="38"/>
        <v>11506</v>
      </c>
      <c r="AE120" s="326">
        <f t="shared" si="39"/>
        <v>19863</v>
      </c>
      <c r="AF120" s="327">
        <f t="shared" si="40"/>
        <v>31369</v>
      </c>
    </row>
    <row r="121" spans="2:32" ht="15.75" thickTop="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2:32" ht="15.75" thickBot="1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2:32" x14ac:dyDescent="0.25">
      <c r="B123" s="108" t="s">
        <v>195</v>
      </c>
      <c r="C123" s="109">
        <v>2009</v>
      </c>
      <c r="D123" s="110">
        <v>2009</v>
      </c>
      <c r="E123" s="553" t="s">
        <v>212</v>
      </c>
      <c r="F123" s="109">
        <v>2010</v>
      </c>
      <c r="G123" s="110">
        <v>2010</v>
      </c>
      <c r="H123" s="553" t="s">
        <v>213</v>
      </c>
      <c r="I123" s="109">
        <v>2011</v>
      </c>
      <c r="J123" s="110">
        <v>2011</v>
      </c>
      <c r="K123" s="553" t="s">
        <v>214</v>
      </c>
      <c r="L123" s="109">
        <v>2012</v>
      </c>
      <c r="M123" s="110">
        <v>2012</v>
      </c>
      <c r="N123" s="553" t="s">
        <v>215</v>
      </c>
      <c r="O123" s="109">
        <v>2013</v>
      </c>
      <c r="P123" s="110">
        <v>2013</v>
      </c>
      <c r="Q123" s="553" t="s">
        <v>140</v>
      </c>
      <c r="R123" s="109">
        <v>2014</v>
      </c>
      <c r="S123" s="110">
        <v>2014</v>
      </c>
      <c r="T123" s="553" t="s">
        <v>216</v>
      </c>
      <c r="U123" s="109">
        <v>2015</v>
      </c>
      <c r="V123" s="110">
        <v>2015</v>
      </c>
      <c r="W123" s="553" t="s">
        <v>217</v>
      </c>
      <c r="X123" s="109">
        <v>2016</v>
      </c>
      <c r="Y123" s="110">
        <v>2016</v>
      </c>
      <c r="Z123" s="553" t="s">
        <v>218</v>
      </c>
      <c r="AA123" s="109">
        <v>2017</v>
      </c>
      <c r="AB123" s="110">
        <v>2017</v>
      </c>
      <c r="AC123" s="553" t="s">
        <v>219</v>
      </c>
      <c r="AD123" s="551" t="s">
        <v>39</v>
      </c>
      <c r="AE123" s="552"/>
      <c r="AF123" s="547" t="s">
        <v>40</v>
      </c>
    </row>
    <row r="124" spans="2:32" ht="15.75" thickBot="1" x14ac:dyDescent="0.3">
      <c r="B124"/>
      <c r="C124" s="111" t="s">
        <v>36</v>
      </c>
      <c r="D124" s="112" t="s">
        <v>37</v>
      </c>
      <c r="E124" s="554"/>
      <c r="F124" s="111" t="s">
        <v>36</v>
      </c>
      <c r="G124" s="112" t="s">
        <v>37</v>
      </c>
      <c r="H124" s="554"/>
      <c r="I124" s="111" t="s">
        <v>36</v>
      </c>
      <c r="J124" s="112" t="s">
        <v>37</v>
      </c>
      <c r="K124" s="554"/>
      <c r="L124" s="111" t="s">
        <v>36</v>
      </c>
      <c r="M124" s="112" t="s">
        <v>37</v>
      </c>
      <c r="N124" s="554"/>
      <c r="O124" s="111" t="s">
        <v>36</v>
      </c>
      <c r="P124" s="112" t="s">
        <v>37</v>
      </c>
      <c r="Q124" s="554"/>
      <c r="R124" s="111" t="s">
        <v>36</v>
      </c>
      <c r="S124" s="112" t="s">
        <v>37</v>
      </c>
      <c r="T124" s="554"/>
      <c r="U124" s="111" t="s">
        <v>36</v>
      </c>
      <c r="V124" s="112" t="s">
        <v>37</v>
      </c>
      <c r="W124" s="554"/>
      <c r="X124" s="111" t="s">
        <v>36</v>
      </c>
      <c r="Y124" s="112" t="s">
        <v>37</v>
      </c>
      <c r="Z124" s="554"/>
      <c r="AA124" s="111" t="s">
        <v>36</v>
      </c>
      <c r="AB124" s="112" t="s">
        <v>37</v>
      </c>
      <c r="AC124" s="554"/>
      <c r="AD124" s="113" t="s">
        <v>36</v>
      </c>
      <c r="AE124" s="114" t="s">
        <v>37</v>
      </c>
      <c r="AF124" s="548" t="s">
        <v>3</v>
      </c>
    </row>
    <row r="125" spans="2:32" ht="15.75" thickBot="1" x14ac:dyDescent="0.3">
      <c r="B125" s="115" t="s">
        <v>135</v>
      </c>
      <c r="C125" s="499">
        <v>13.88</v>
      </c>
      <c r="D125" s="500">
        <v>16.52</v>
      </c>
      <c r="E125" s="506">
        <v>15.66</v>
      </c>
      <c r="F125" s="499">
        <v>106.33</v>
      </c>
      <c r="G125" s="500">
        <v>106.45</v>
      </c>
      <c r="H125" s="506">
        <v>102.33</v>
      </c>
      <c r="I125" s="499">
        <v>63.77</v>
      </c>
      <c r="J125" s="500">
        <v>64.45</v>
      </c>
      <c r="K125" s="506">
        <v>64.55</v>
      </c>
      <c r="L125" s="499">
        <v>81.41</v>
      </c>
      <c r="M125" s="500">
        <v>80.459999999999994</v>
      </c>
      <c r="N125" s="506">
        <v>80.45</v>
      </c>
      <c r="O125" s="499">
        <v>81.33</v>
      </c>
      <c r="P125" s="500">
        <v>79.55</v>
      </c>
      <c r="Q125" s="506">
        <v>69.33</v>
      </c>
      <c r="R125" s="499">
        <v>48.22</v>
      </c>
      <c r="S125" s="500">
        <v>68.11</v>
      </c>
      <c r="T125" s="506">
        <v>44.33</v>
      </c>
      <c r="U125" s="499">
        <v>93.55</v>
      </c>
      <c r="V125" s="500">
        <v>92.55</v>
      </c>
      <c r="W125" s="506">
        <v>44.66</v>
      </c>
      <c r="X125" s="499">
        <v>68.989999999999995</v>
      </c>
      <c r="Y125" s="500">
        <v>92.15</v>
      </c>
      <c r="Z125" s="506">
        <v>89.17</v>
      </c>
      <c r="AA125" s="499">
        <v>79.33</v>
      </c>
      <c r="AB125" s="500">
        <v>85.66</v>
      </c>
      <c r="AC125" s="506">
        <v>91.47</v>
      </c>
      <c r="AD125" s="330">
        <f>C125+F125+I125+L125+O125+R125+U125++X125</f>
        <v>557.4799999999999</v>
      </c>
      <c r="AE125" s="331">
        <f>D125+G125+J125+M125+P125+S125+V125+Y125</f>
        <v>600.24</v>
      </c>
      <c r="AF125" s="332">
        <f>AD125+AE125</f>
        <v>1157.7199999999998</v>
      </c>
    </row>
    <row r="126" spans="2:32" ht="16.5" thickTop="1" thickBot="1" x14ac:dyDescent="0.3">
      <c r="B126" s="116" t="s">
        <v>41</v>
      </c>
      <c r="C126" s="504">
        <v>0</v>
      </c>
      <c r="D126" s="501">
        <v>0</v>
      </c>
      <c r="E126" s="507">
        <v>0</v>
      </c>
      <c r="F126" s="504">
        <v>0</v>
      </c>
      <c r="G126" s="501">
        <v>0</v>
      </c>
      <c r="H126" s="507">
        <v>0</v>
      </c>
      <c r="I126" s="504">
        <v>0</v>
      </c>
      <c r="J126" s="501">
        <v>0</v>
      </c>
      <c r="K126" s="507">
        <v>0</v>
      </c>
      <c r="L126" s="504">
        <v>0</v>
      </c>
      <c r="M126" s="501">
        <v>0</v>
      </c>
      <c r="N126" s="507">
        <v>0</v>
      </c>
      <c r="O126" s="504">
        <v>0</v>
      </c>
      <c r="P126" s="501">
        <v>0</v>
      </c>
      <c r="Q126" s="507">
        <v>0</v>
      </c>
      <c r="R126" s="504">
        <v>0</v>
      </c>
      <c r="S126" s="501">
        <v>0</v>
      </c>
      <c r="T126" s="507">
        <v>0</v>
      </c>
      <c r="U126" s="504">
        <v>0</v>
      </c>
      <c r="V126" s="501">
        <v>0</v>
      </c>
      <c r="W126" s="507">
        <v>0</v>
      </c>
      <c r="X126" s="504">
        <v>0</v>
      </c>
      <c r="Y126" s="501">
        <v>0</v>
      </c>
      <c r="Z126" s="507">
        <v>0</v>
      </c>
      <c r="AA126" s="504">
        <v>0</v>
      </c>
      <c r="AB126" s="501">
        <v>0</v>
      </c>
      <c r="AC126" s="507">
        <v>0</v>
      </c>
      <c r="AD126" s="330">
        <f t="shared" ref="AD126:AD136" si="41">C126+F126+I126+L126+O126+R126+U126++X126</f>
        <v>0</v>
      </c>
      <c r="AE126" s="331">
        <f t="shared" ref="AE126:AE136" si="42">D126+G126+J126+M126+P126+S126+V126+Y126</f>
        <v>0</v>
      </c>
      <c r="AF126" s="332">
        <f t="shared" ref="AF126:AF136" si="43">AD126+AE126</f>
        <v>0</v>
      </c>
    </row>
    <row r="127" spans="2:32" ht="16.5" thickTop="1" thickBot="1" x14ac:dyDescent="0.3">
      <c r="B127" s="118" t="s">
        <v>42</v>
      </c>
      <c r="C127" s="498">
        <v>0</v>
      </c>
      <c r="D127" s="502">
        <v>0</v>
      </c>
      <c r="E127" s="508">
        <v>0</v>
      </c>
      <c r="F127" s="498">
        <v>87.33</v>
      </c>
      <c r="G127" s="502">
        <v>87.33</v>
      </c>
      <c r="H127" s="508">
        <v>87.33</v>
      </c>
      <c r="I127" s="498">
        <v>83.05</v>
      </c>
      <c r="J127" s="502">
        <v>83.05</v>
      </c>
      <c r="K127" s="508">
        <v>83.05</v>
      </c>
      <c r="L127" s="498">
        <v>33.549999999999997</v>
      </c>
      <c r="M127" s="502">
        <v>33.549999999999997</v>
      </c>
      <c r="N127" s="508">
        <v>33.549999999999997</v>
      </c>
      <c r="O127" s="498">
        <v>45.33</v>
      </c>
      <c r="P127" s="502">
        <v>45.33</v>
      </c>
      <c r="Q127" s="508">
        <v>45.33</v>
      </c>
      <c r="R127" s="498">
        <v>55.22</v>
      </c>
      <c r="S127" s="502">
        <v>55.22</v>
      </c>
      <c r="T127" s="508">
        <v>55.22</v>
      </c>
      <c r="U127" s="498">
        <v>44.13</v>
      </c>
      <c r="V127" s="502">
        <v>44.13</v>
      </c>
      <c r="W127" s="508">
        <v>44.13</v>
      </c>
      <c r="X127" s="498">
        <v>43.27</v>
      </c>
      <c r="Y127" s="502">
        <v>43.27</v>
      </c>
      <c r="Z127" s="508">
        <v>43.27</v>
      </c>
      <c r="AA127" s="498">
        <v>41.33</v>
      </c>
      <c r="AB127" s="502">
        <v>41.33</v>
      </c>
      <c r="AC127" s="508">
        <v>41.33</v>
      </c>
      <c r="AD127" s="330">
        <f t="shared" si="41"/>
        <v>391.88</v>
      </c>
      <c r="AE127" s="331">
        <f t="shared" si="42"/>
        <v>391.88</v>
      </c>
      <c r="AF127" s="332">
        <f t="shared" si="43"/>
        <v>783.76</v>
      </c>
    </row>
    <row r="128" spans="2:32" ht="16.5" thickTop="1" thickBot="1" x14ac:dyDescent="0.3">
      <c r="B128" s="118" t="s">
        <v>43</v>
      </c>
      <c r="C128" s="498">
        <v>166.03</v>
      </c>
      <c r="D128" s="502">
        <v>166.03</v>
      </c>
      <c r="E128" s="508">
        <v>166.03</v>
      </c>
      <c r="F128" s="498">
        <v>103.55</v>
      </c>
      <c r="G128" s="502">
        <v>103.55</v>
      </c>
      <c r="H128" s="508">
        <v>103.55</v>
      </c>
      <c r="I128" s="498">
        <v>77.22</v>
      </c>
      <c r="J128" s="502">
        <v>77.22</v>
      </c>
      <c r="K128" s="508">
        <v>77.22</v>
      </c>
      <c r="L128" s="498">
        <v>78.45</v>
      </c>
      <c r="M128" s="502">
        <v>78.45</v>
      </c>
      <c r="N128" s="508">
        <v>78.45</v>
      </c>
      <c r="O128" s="498">
        <v>68.150000000000006</v>
      </c>
      <c r="P128" s="502">
        <v>68.150000000000006</v>
      </c>
      <c r="Q128" s="508">
        <v>68.150000000000006</v>
      </c>
      <c r="R128" s="498">
        <v>68.55</v>
      </c>
      <c r="S128" s="502">
        <v>68.55</v>
      </c>
      <c r="T128" s="508">
        <v>68.55</v>
      </c>
      <c r="U128" s="498">
        <v>78.22</v>
      </c>
      <c r="V128" s="502">
        <v>78.22</v>
      </c>
      <c r="W128" s="508">
        <v>78.22</v>
      </c>
      <c r="X128" s="498">
        <v>68.55</v>
      </c>
      <c r="Y128" s="502">
        <v>68.55</v>
      </c>
      <c r="Z128" s="508">
        <v>68.55</v>
      </c>
      <c r="AA128" s="498">
        <v>81.99</v>
      </c>
      <c r="AB128" s="502">
        <v>81.99</v>
      </c>
      <c r="AC128" s="508">
        <v>81.99</v>
      </c>
      <c r="AD128" s="330">
        <f t="shared" si="41"/>
        <v>708.71999999999991</v>
      </c>
      <c r="AE128" s="331">
        <f t="shared" si="42"/>
        <v>708.71999999999991</v>
      </c>
      <c r="AF128" s="332">
        <f t="shared" si="43"/>
        <v>1417.4399999999998</v>
      </c>
    </row>
    <row r="129" spans="2:32" ht="16.5" thickTop="1" thickBot="1" x14ac:dyDescent="0.3">
      <c r="B129" s="118" t="s">
        <v>44</v>
      </c>
      <c r="C129" s="498">
        <v>178.33</v>
      </c>
      <c r="D129" s="502">
        <v>0</v>
      </c>
      <c r="E129" s="508">
        <v>178.33</v>
      </c>
      <c r="F129" s="498">
        <v>132.15</v>
      </c>
      <c r="G129" s="502">
        <v>132.15</v>
      </c>
      <c r="H129" s="508">
        <v>132.15</v>
      </c>
      <c r="I129" s="498">
        <v>101.05</v>
      </c>
      <c r="J129" s="502">
        <v>105.05</v>
      </c>
      <c r="K129" s="508">
        <v>105.05</v>
      </c>
      <c r="L129" s="498">
        <v>83.66</v>
      </c>
      <c r="M129" s="502">
        <v>83.66</v>
      </c>
      <c r="N129" s="508">
        <v>83.66</v>
      </c>
      <c r="O129" s="498">
        <v>78.66</v>
      </c>
      <c r="P129" s="502">
        <v>78.66</v>
      </c>
      <c r="Q129" s="508">
        <v>78.66</v>
      </c>
      <c r="R129" s="498">
        <v>0</v>
      </c>
      <c r="S129" s="502">
        <v>0</v>
      </c>
      <c r="T129" s="508">
        <v>0</v>
      </c>
      <c r="U129" s="498">
        <v>0</v>
      </c>
      <c r="V129" s="502">
        <v>0</v>
      </c>
      <c r="W129" s="508">
        <v>0</v>
      </c>
      <c r="X129" s="498">
        <v>95.15</v>
      </c>
      <c r="Y129" s="502">
        <v>95.15</v>
      </c>
      <c r="Z129" s="508">
        <v>95.15</v>
      </c>
      <c r="AA129" s="498">
        <v>102.33</v>
      </c>
      <c r="AB129" s="502">
        <v>102.33</v>
      </c>
      <c r="AC129" s="508">
        <v>102.33</v>
      </c>
      <c r="AD129" s="330">
        <f t="shared" si="41"/>
        <v>669</v>
      </c>
      <c r="AE129" s="331">
        <f t="shared" si="42"/>
        <v>494.66999999999996</v>
      </c>
      <c r="AF129" s="332">
        <f t="shared" si="43"/>
        <v>1163.67</v>
      </c>
    </row>
    <row r="130" spans="2:32" ht="16.5" thickTop="1" thickBot="1" x14ac:dyDescent="0.3">
      <c r="B130" s="118" t="s">
        <v>45</v>
      </c>
      <c r="C130" s="498">
        <v>203.55</v>
      </c>
      <c r="D130" s="502">
        <v>203.55</v>
      </c>
      <c r="E130" s="508">
        <v>203.55</v>
      </c>
      <c r="F130" s="498">
        <v>201.11</v>
      </c>
      <c r="G130" s="502">
        <v>201.11</v>
      </c>
      <c r="H130" s="508">
        <v>201.11</v>
      </c>
      <c r="I130" s="498">
        <v>99.13</v>
      </c>
      <c r="J130" s="502">
        <v>99.13</v>
      </c>
      <c r="K130" s="508">
        <v>99.13</v>
      </c>
      <c r="L130" s="498">
        <v>0</v>
      </c>
      <c r="M130" s="502">
        <v>0</v>
      </c>
      <c r="N130" s="508">
        <v>0</v>
      </c>
      <c r="O130" s="498">
        <v>0</v>
      </c>
      <c r="P130" s="502">
        <v>0</v>
      </c>
      <c r="Q130" s="508">
        <v>0</v>
      </c>
      <c r="R130" s="498">
        <v>0</v>
      </c>
      <c r="S130" s="502">
        <v>0</v>
      </c>
      <c r="T130" s="508">
        <v>0</v>
      </c>
      <c r="U130" s="498">
        <v>0</v>
      </c>
      <c r="V130" s="502">
        <v>0</v>
      </c>
      <c r="W130" s="508">
        <v>0</v>
      </c>
      <c r="X130" s="498">
        <v>0</v>
      </c>
      <c r="Y130" s="502">
        <v>0</v>
      </c>
      <c r="Z130" s="508">
        <v>0</v>
      </c>
      <c r="AA130" s="498">
        <v>0</v>
      </c>
      <c r="AB130" s="502">
        <v>0</v>
      </c>
      <c r="AC130" s="508">
        <v>0</v>
      </c>
      <c r="AD130" s="330">
        <f t="shared" si="41"/>
        <v>503.79</v>
      </c>
      <c r="AE130" s="331">
        <f t="shared" si="42"/>
        <v>503.79</v>
      </c>
      <c r="AF130" s="332">
        <f t="shared" si="43"/>
        <v>1007.58</v>
      </c>
    </row>
    <row r="131" spans="2:32" ht="16.5" thickTop="1" thickBot="1" x14ac:dyDescent="0.3">
      <c r="B131" s="328" t="s">
        <v>46</v>
      </c>
      <c r="C131" s="498">
        <v>13.99</v>
      </c>
      <c r="D131" s="502">
        <v>0</v>
      </c>
      <c r="E131" s="508">
        <v>13.99</v>
      </c>
      <c r="F131" s="498">
        <v>115.21</v>
      </c>
      <c r="G131" s="502">
        <v>0</v>
      </c>
      <c r="H131" s="508">
        <v>115.21</v>
      </c>
      <c r="I131" s="498">
        <v>0</v>
      </c>
      <c r="J131" s="502">
        <v>0</v>
      </c>
      <c r="K131" s="508">
        <v>0</v>
      </c>
      <c r="L131" s="498">
        <v>0</v>
      </c>
      <c r="M131" s="502">
        <v>0</v>
      </c>
      <c r="N131" s="508">
        <v>0</v>
      </c>
      <c r="O131" s="498">
        <v>0</v>
      </c>
      <c r="P131" s="502">
        <v>0</v>
      </c>
      <c r="Q131" s="508">
        <v>0</v>
      </c>
      <c r="R131" s="498">
        <v>0</v>
      </c>
      <c r="S131" s="502">
        <v>0</v>
      </c>
      <c r="T131" s="508">
        <v>0</v>
      </c>
      <c r="U131" s="498">
        <v>0</v>
      </c>
      <c r="V131" s="502">
        <v>0</v>
      </c>
      <c r="W131" s="508">
        <v>0</v>
      </c>
      <c r="X131" s="498">
        <v>0</v>
      </c>
      <c r="Y131" s="502">
        <v>0</v>
      </c>
      <c r="Z131" s="508">
        <v>0</v>
      </c>
      <c r="AA131" s="498">
        <v>0</v>
      </c>
      <c r="AB131" s="502">
        <v>0</v>
      </c>
      <c r="AC131" s="508">
        <v>0</v>
      </c>
      <c r="AD131" s="330">
        <f t="shared" si="41"/>
        <v>129.19999999999999</v>
      </c>
      <c r="AE131" s="331">
        <f t="shared" si="42"/>
        <v>0</v>
      </c>
      <c r="AF131" s="332">
        <f t="shared" si="43"/>
        <v>129.19999999999999</v>
      </c>
    </row>
    <row r="132" spans="2:32" ht="16.5" thickTop="1" thickBot="1" x14ac:dyDescent="0.3">
      <c r="B132" s="328" t="s">
        <v>47</v>
      </c>
      <c r="C132" s="498">
        <v>13.99</v>
      </c>
      <c r="D132" s="502">
        <v>13.99</v>
      </c>
      <c r="E132" s="508">
        <v>13.99</v>
      </c>
      <c r="F132" s="498">
        <v>115.21</v>
      </c>
      <c r="G132" s="502">
        <v>115.21</v>
      </c>
      <c r="H132" s="508">
        <v>115.21</v>
      </c>
      <c r="I132" s="498">
        <v>79.989999999999995</v>
      </c>
      <c r="J132" s="502">
        <v>79.989999999999995</v>
      </c>
      <c r="K132" s="508">
        <v>79.989999999999995</v>
      </c>
      <c r="L132" s="498">
        <v>45.22</v>
      </c>
      <c r="M132" s="502">
        <v>45.22</v>
      </c>
      <c r="N132" s="508">
        <v>45.22</v>
      </c>
      <c r="O132" s="498">
        <v>0</v>
      </c>
      <c r="P132" s="502">
        <v>0</v>
      </c>
      <c r="Q132" s="508">
        <v>0</v>
      </c>
      <c r="R132" s="498">
        <v>0</v>
      </c>
      <c r="S132" s="502">
        <v>0</v>
      </c>
      <c r="T132" s="508">
        <v>0</v>
      </c>
      <c r="U132" s="498">
        <v>0</v>
      </c>
      <c r="V132" s="502">
        <v>0</v>
      </c>
      <c r="W132" s="508">
        <v>0</v>
      </c>
      <c r="X132" s="498">
        <v>0</v>
      </c>
      <c r="Y132" s="502">
        <v>0</v>
      </c>
      <c r="Z132" s="508">
        <v>0</v>
      </c>
      <c r="AA132" s="498">
        <v>0</v>
      </c>
      <c r="AB132" s="502">
        <v>0</v>
      </c>
      <c r="AC132" s="508">
        <v>0</v>
      </c>
      <c r="AD132" s="330">
        <f t="shared" si="41"/>
        <v>254.41</v>
      </c>
      <c r="AE132" s="331">
        <f t="shared" si="42"/>
        <v>254.41</v>
      </c>
      <c r="AF132" s="332">
        <f t="shared" si="43"/>
        <v>508.82</v>
      </c>
    </row>
    <row r="133" spans="2:32" ht="16.5" thickTop="1" thickBot="1" x14ac:dyDescent="0.3">
      <c r="B133" s="328" t="s">
        <v>48</v>
      </c>
      <c r="C133" s="498">
        <v>13.99</v>
      </c>
      <c r="D133" s="502">
        <v>13.99</v>
      </c>
      <c r="E133" s="508">
        <v>13.99</v>
      </c>
      <c r="F133" s="498">
        <v>0</v>
      </c>
      <c r="G133" s="502">
        <v>0</v>
      </c>
      <c r="H133" s="508">
        <v>0</v>
      </c>
      <c r="I133" s="498">
        <v>0</v>
      </c>
      <c r="J133" s="502">
        <v>0</v>
      </c>
      <c r="K133" s="508">
        <v>0</v>
      </c>
      <c r="L133" s="498">
        <v>0</v>
      </c>
      <c r="M133" s="502">
        <v>0</v>
      </c>
      <c r="N133" s="508">
        <v>0</v>
      </c>
      <c r="O133" s="498">
        <v>0</v>
      </c>
      <c r="P133" s="502">
        <v>0</v>
      </c>
      <c r="Q133" s="508">
        <v>0</v>
      </c>
      <c r="R133" s="498">
        <v>0</v>
      </c>
      <c r="S133" s="502">
        <v>0</v>
      </c>
      <c r="T133" s="508">
        <v>0</v>
      </c>
      <c r="U133" s="498">
        <v>0</v>
      </c>
      <c r="V133" s="502">
        <v>0</v>
      </c>
      <c r="W133" s="508">
        <v>0</v>
      </c>
      <c r="X133" s="498">
        <v>0</v>
      </c>
      <c r="Y133" s="502">
        <v>0</v>
      </c>
      <c r="Z133" s="508">
        <v>0</v>
      </c>
      <c r="AA133" s="498">
        <v>0</v>
      </c>
      <c r="AB133" s="502">
        <v>0</v>
      </c>
      <c r="AC133" s="508">
        <v>0</v>
      </c>
      <c r="AD133" s="330">
        <f t="shared" si="41"/>
        <v>13.99</v>
      </c>
      <c r="AE133" s="331">
        <f t="shared" si="42"/>
        <v>13.99</v>
      </c>
      <c r="AF133" s="332">
        <f t="shared" si="43"/>
        <v>27.98</v>
      </c>
    </row>
    <row r="134" spans="2:32" ht="16.5" thickTop="1" thickBot="1" x14ac:dyDescent="0.3">
      <c r="B134" s="328" t="s">
        <v>49</v>
      </c>
      <c r="C134" s="498">
        <v>0</v>
      </c>
      <c r="D134" s="502">
        <v>0</v>
      </c>
      <c r="E134" s="508">
        <v>0</v>
      </c>
      <c r="F134" s="498">
        <v>0</v>
      </c>
      <c r="G134" s="502">
        <v>0</v>
      </c>
      <c r="H134" s="508">
        <v>0</v>
      </c>
      <c r="I134" s="498">
        <v>0</v>
      </c>
      <c r="J134" s="502">
        <v>0</v>
      </c>
      <c r="K134" s="508">
        <v>0</v>
      </c>
      <c r="L134" s="498">
        <v>0</v>
      </c>
      <c r="M134" s="502">
        <v>0</v>
      </c>
      <c r="N134" s="508">
        <v>0</v>
      </c>
      <c r="O134" s="498">
        <v>0</v>
      </c>
      <c r="P134" s="502">
        <v>0</v>
      </c>
      <c r="Q134" s="508">
        <v>0</v>
      </c>
      <c r="R134" s="498">
        <v>0</v>
      </c>
      <c r="S134" s="502">
        <v>0</v>
      </c>
      <c r="T134" s="508">
        <v>0</v>
      </c>
      <c r="U134" s="498">
        <v>0</v>
      </c>
      <c r="V134" s="502">
        <v>0</v>
      </c>
      <c r="W134" s="508">
        <v>0</v>
      </c>
      <c r="X134" s="498">
        <v>0</v>
      </c>
      <c r="Y134" s="502">
        <v>0</v>
      </c>
      <c r="Z134" s="508">
        <v>0</v>
      </c>
      <c r="AA134" s="498">
        <v>0</v>
      </c>
      <c r="AB134" s="502">
        <v>0</v>
      </c>
      <c r="AC134" s="508">
        <v>0</v>
      </c>
      <c r="AD134" s="330">
        <f t="shared" si="41"/>
        <v>0</v>
      </c>
      <c r="AE134" s="331">
        <f t="shared" si="42"/>
        <v>0</v>
      </c>
      <c r="AF134" s="332">
        <f t="shared" si="43"/>
        <v>0</v>
      </c>
    </row>
    <row r="135" spans="2:32" ht="16.5" thickTop="1" thickBot="1" x14ac:dyDescent="0.3">
      <c r="B135" s="328" t="s">
        <v>50</v>
      </c>
      <c r="C135" s="498">
        <v>0</v>
      </c>
      <c r="D135" s="502">
        <v>0</v>
      </c>
      <c r="E135" s="508">
        <v>0</v>
      </c>
      <c r="F135" s="498">
        <v>0</v>
      </c>
      <c r="G135" s="502">
        <v>0</v>
      </c>
      <c r="H135" s="508">
        <v>0</v>
      </c>
      <c r="I135" s="498">
        <v>0</v>
      </c>
      <c r="J135" s="502">
        <v>0</v>
      </c>
      <c r="K135" s="508">
        <v>0</v>
      </c>
      <c r="L135" s="498">
        <v>0</v>
      </c>
      <c r="M135" s="502">
        <v>0</v>
      </c>
      <c r="N135" s="508">
        <v>0</v>
      </c>
      <c r="O135" s="498">
        <v>0</v>
      </c>
      <c r="P135" s="502">
        <v>0</v>
      </c>
      <c r="Q135" s="508">
        <v>0</v>
      </c>
      <c r="R135" s="498">
        <v>0</v>
      </c>
      <c r="S135" s="502">
        <v>0</v>
      </c>
      <c r="T135" s="508">
        <v>0</v>
      </c>
      <c r="U135" s="498">
        <v>0</v>
      </c>
      <c r="V135" s="502">
        <v>0</v>
      </c>
      <c r="W135" s="508">
        <v>0</v>
      </c>
      <c r="X135" s="498">
        <v>0</v>
      </c>
      <c r="Y135" s="502">
        <v>0</v>
      </c>
      <c r="Z135" s="508">
        <v>0</v>
      </c>
      <c r="AA135" s="498">
        <v>0</v>
      </c>
      <c r="AB135" s="502">
        <v>0</v>
      </c>
      <c r="AC135" s="508">
        <v>0</v>
      </c>
      <c r="AD135" s="330">
        <f t="shared" si="41"/>
        <v>0</v>
      </c>
      <c r="AE135" s="331">
        <f t="shared" si="42"/>
        <v>0</v>
      </c>
      <c r="AF135" s="332">
        <f t="shared" si="43"/>
        <v>0</v>
      </c>
    </row>
    <row r="136" spans="2:32" ht="16.5" thickTop="1" thickBot="1" x14ac:dyDescent="0.3">
      <c r="B136" s="329" t="s">
        <v>51</v>
      </c>
      <c r="C136" s="505">
        <v>0</v>
      </c>
      <c r="D136" s="503">
        <v>0</v>
      </c>
      <c r="E136" s="509">
        <v>0</v>
      </c>
      <c r="F136" s="505">
        <v>0</v>
      </c>
      <c r="G136" s="503">
        <v>0</v>
      </c>
      <c r="H136" s="509">
        <v>0</v>
      </c>
      <c r="I136" s="505">
        <v>0</v>
      </c>
      <c r="J136" s="503">
        <v>0</v>
      </c>
      <c r="K136" s="509">
        <v>0</v>
      </c>
      <c r="L136" s="505">
        <v>89.16</v>
      </c>
      <c r="M136" s="503">
        <v>89.16</v>
      </c>
      <c r="N136" s="509">
        <v>89.16</v>
      </c>
      <c r="O136" s="505">
        <v>0</v>
      </c>
      <c r="P136" s="503">
        <v>0</v>
      </c>
      <c r="Q136" s="509">
        <v>0</v>
      </c>
      <c r="R136" s="505">
        <v>0</v>
      </c>
      <c r="S136" s="503">
        <v>0</v>
      </c>
      <c r="T136" s="509">
        <v>0</v>
      </c>
      <c r="U136" s="505">
        <v>0</v>
      </c>
      <c r="V136" s="503">
        <v>0</v>
      </c>
      <c r="W136" s="509">
        <v>0</v>
      </c>
      <c r="X136" s="505">
        <v>0</v>
      </c>
      <c r="Y136" s="503">
        <v>0</v>
      </c>
      <c r="Z136" s="509">
        <v>0</v>
      </c>
      <c r="AA136" s="505">
        <v>0</v>
      </c>
      <c r="AB136" s="503">
        <v>0</v>
      </c>
      <c r="AC136" s="509">
        <v>0</v>
      </c>
      <c r="AD136" s="330">
        <f t="shared" si="41"/>
        <v>89.16</v>
      </c>
      <c r="AE136" s="331">
        <f t="shared" si="42"/>
        <v>89.16</v>
      </c>
      <c r="AF136" s="332">
        <f t="shared" si="43"/>
        <v>178.32</v>
      </c>
    </row>
    <row r="137" spans="2:32" ht="15.75" thickTop="1" x14ac:dyDescent="0.25"/>
  </sheetData>
  <mergeCells count="66">
    <mergeCell ref="AF123:AF124"/>
    <mergeCell ref="T123:T124"/>
    <mergeCell ref="W123:W124"/>
    <mergeCell ref="Z123:Z124"/>
    <mergeCell ref="AC123:AC124"/>
    <mergeCell ref="AD123:AE123"/>
    <mergeCell ref="E123:E124"/>
    <mergeCell ref="H123:H124"/>
    <mergeCell ref="K123:K124"/>
    <mergeCell ref="N123:N124"/>
    <mergeCell ref="Q123:Q124"/>
    <mergeCell ref="T107:T108"/>
    <mergeCell ref="E107:E108"/>
    <mergeCell ref="H107:H108"/>
    <mergeCell ref="K107:K108"/>
    <mergeCell ref="N107:N108"/>
    <mergeCell ref="Q107:Q108"/>
    <mergeCell ref="W107:W108"/>
    <mergeCell ref="Z107:Z108"/>
    <mergeCell ref="AC107:AC108"/>
    <mergeCell ref="AD107:AE107"/>
    <mergeCell ref="AF107:AF108"/>
    <mergeCell ref="AD42:AE42"/>
    <mergeCell ref="E42:E43"/>
    <mergeCell ref="H42:H43"/>
    <mergeCell ref="K42:K43"/>
    <mergeCell ref="N42:N43"/>
    <mergeCell ref="Q42:Q43"/>
    <mergeCell ref="AF42:AF43"/>
    <mergeCell ref="E60:E61"/>
    <mergeCell ref="H60:H61"/>
    <mergeCell ref="K60:K61"/>
    <mergeCell ref="N60:N61"/>
    <mergeCell ref="Q60:Q61"/>
    <mergeCell ref="T60:T61"/>
    <mergeCell ref="W60:W61"/>
    <mergeCell ref="Z60:Z61"/>
    <mergeCell ref="AC60:AC61"/>
    <mergeCell ref="AD60:AE60"/>
    <mergeCell ref="AF60:AF61"/>
    <mergeCell ref="T42:T43"/>
    <mergeCell ref="W42:W43"/>
    <mergeCell ref="Z42:Z43"/>
    <mergeCell ref="AC42:AC43"/>
    <mergeCell ref="AD75:AE75"/>
    <mergeCell ref="E75:E76"/>
    <mergeCell ref="H75:H76"/>
    <mergeCell ref="K75:K76"/>
    <mergeCell ref="N75:N76"/>
    <mergeCell ref="Q75:Q76"/>
    <mergeCell ref="AF75:AF76"/>
    <mergeCell ref="E91:E92"/>
    <mergeCell ref="H91:H92"/>
    <mergeCell ref="K91:K92"/>
    <mergeCell ref="N91:N92"/>
    <mergeCell ref="Q91:Q92"/>
    <mergeCell ref="T91:T92"/>
    <mergeCell ref="W91:W92"/>
    <mergeCell ref="Z91:Z92"/>
    <mergeCell ref="AC91:AC92"/>
    <mergeCell ref="AD91:AE91"/>
    <mergeCell ref="AF91:AF92"/>
    <mergeCell ref="T75:T76"/>
    <mergeCell ref="W75:W76"/>
    <mergeCell ref="Z75:Z76"/>
    <mergeCell ref="AC75:AC76"/>
  </mergeCells>
  <pageMargins left="0.7" right="0.7" top="0.75" bottom="0.75" header="0.3" footer="0.3"/>
  <pageSetup paperSize="8" scale="80" orientation="landscape" r:id="rId1"/>
  <colBreaks count="1" manualBreakCount="1">
    <brk id="2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G99"/>
  <sheetViews>
    <sheetView zoomScaleNormal="100" zoomScaleSheetLayoutView="130" workbookViewId="0">
      <selection activeCell="G7" sqref="G7"/>
    </sheetView>
  </sheetViews>
  <sheetFormatPr defaultColWidth="9.140625" defaultRowHeight="11.25" x14ac:dyDescent="0.2"/>
  <cols>
    <col min="1" max="1" width="4.42578125" style="1" customWidth="1"/>
    <col min="2" max="2" width="23.85546875" style="1" bestFit="1" customWidth="1"/>
    <col min="3" max="5" width="17" style="1" customWidth="1"/>
    <col min="6" max="16384" width="9.140625" style="1"/>
  </cols>
  <sheetData>
    <row r="1" spans="2:7" x14ac:dyDescent="0.2">
      <c r="B1" s="18"/>
      <c r="G1" s="301" t="s">
        <v>321</v>
      </c>
    </row>
    <row r="2" spans="2:7" ht="12" thickBot="1" x14ac:dyDescent="0.25">
      <c r="B2" s="46" t="s">
        <v>333</v>
      </c>
      <c r="C2" s="46" t="s">
        <v>15</v>
      </c>
      <c r="D2" s="46" t="s">
        <v>334</v>
      </c>
      <c r="E2" s="141" t="s">
        <v>29</v>
      </c>
    </row>
    <row r="3" spans="2:7" x14ac:dyDescent="0.2">
      <c r="B3" s="69" t="s">
        <v>335</v>
      </c>
      <c r="C3" s="70">
        <v>10</v>
      </c>
      <c r="D3" s="510">
        <v>0</v>
      </c>
      <c r="E3" s="71">
        <f>C3+D3</f>
        <v>10</v>
      </c>
      <c r="G3" s="1" t="s">
        <v>341</v>
      </c>
    </row>
    <row r="4" spans="2:7" ht="12" thickBot="1" x14ac:dyDescent="0.25">
      <c r="B4" s="72" t="s">
        <v>336</v>
      </c>
      <c r="C4" s="73">
        <v>15</v>
      </c>
      <c r="D4" s="511">
        <v>0</v>
      </c>
      <c r="E4" s="74">
        <f>C4+D4</f>
        <v>15</v>
      </c>
      <c r="G4" s="1" t="s">
        <v>341</v>
      </c>
    </row>
    <row r="6" spans="2:7" ht="12" thickBot="1" x14ac:dyDescent="0.25">
      <c r="B6" s="46" t="s">
        <v>337</v>
      </c>
      <c r="C6" s="46" t="s">
        <v>339</v>
      </c>
      <c r="D6" s="46" t="s">
        <v>340</v>
      </c>
      <c r="E6" s="141" t="s">
        <v>30</v>
      </c>
    </row>
    <row r="7" spans="2:7" x14ac:dyDescent="0.2">
      <c r="B7" s="75" t="s">
        <v>338</v>
      </c>
      <c r="C7" s="512">
        <f>2100/'Ipoteze de lucru'!C19</f>
        <v>459.70972614434885</v>
      </c>
      <c r="D7" s="512">
        <v>0</v>
      </c>
      <c r="E7" s="76">
        <f>C7+D7</f>
        <v>459.70972614434885</v>
      </c>
      <c r="G7" s="1" t="s">
        <v>341</v>
      </c>
    </row>
    <row r="8" spans="2:7" ht="12" thickBot="1" x14ac:dyDescent="0.25">
      <c r="B8" s="77" t="s">
        <v>16</v>
      </c>
      <c r="C8" s="513">
        <v>0</v>
      </c>
      <c r="D8" s="513">
        <v>0</v>
      </c>
      <c r="E8" s="78">
        <f>C8+D8</f>
        <v>0</v>
      </c>
    </row>
    <row r="9" spans="2:7" ht="12" thickBot="1" x14ac:dyDescent="0.25">
      <c r="E9" s="79">
        <f>E8+E7</f>
        <v>459.70972614434885</v>
      </c>
    </row>
    <row r="99" spans="2:2" ht="12" hidden="1" thickBot="1" x14ac:dyDescent="0.25">
      <c r="B99" s="41" t="e">
        <f>Sumar!#REF!</f>
        <v>#REF!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2:N35"/>
  <sheetViews>
    <sheetView topLeftCell="A23" zoomScale="85" zoomScaleNormal="85" workbookViewId="0">
      <selection activeCell="E39" sqref="E39"/>
    </sheetView>
  </sheetViews>
  <sheetFormatPr defaultColWidth="9.140625" defaultRowHeight="15" x14ac:dyDescent="0.25"/>
  <cols>
    <col min="1" max="1" width="9.140625" style="148"/>
    <col min="2" max="2" width="29.85546875" style="148" customWidth="1"/>
    <col min="3" max="3" width="36.5703125" style="148" bestFit="1" customWidth="1"/>
    <col min="4" max="4" width="9.140625" style="148"/>
    <col min="5" max="5" width="14.85546875" style="148" customWidth="1"/>
    <col min="6" max="6" width="36.5703125" style="148" bestFit="1" customWidth="1"/>
    <col min="7" max="7" width="18.140625" style="148" bestFit="1" customWidth="1"/>
    <col min="8" max="8" width="12" style="148" bestFit="1" customWidth="1"/>
    <col min="9" max="12" width="9.140625" style="148"/>
    <col min="13" max="13" width="11.85546875" style="148" bestFit="1" customWidth="1"/>
    <col min="14" max="14" width="10.85546875" style="148" bestFit="1" customWidth="1"/>
    <col min="15" max="16384" width="9.140625" style="148"/>
  </cols>
  <sheetData>
    <row r="2" spans="2:14" ht="15.75" thickBot="1" x14ac:dyDescent="0.3">
      <c r="B2" s="557" t="s">
        <v>79</v>
      </c>
      <c r="C2" s="557"/>
      <c r="F2" s="557" t="s">
        <v>72</v>
      </c>
      <c r="G2" s="557" t="s">
        <v>70</v>
      </c>
    </row>
    <row r="3" spans="2:14" x14ac:dyDescent="0.25">
      <c r="E3" s="155" t="s">
        <v>73</v>
      </c>
      <c r="F3" s="150">
        <f>Materiale!C34/'4. Capacitati de retea'!D13</f>
        <v>3.4638464653378183</v>
      </c>
      <c r="G3" s="156" t="s">
        <v>71</v>
      </c>
    </row>
    <row r="4" spans="2:14" ht="15.75" thickBot="1" x14ac:dyDescent="0.3">
      <c r="B4" s="558">
        <v>2009</v>
      </c>
      <c r="C4" s="558"/>
      <c r="E4" s="157" t="s">
        <v>74</v>
      </c>
      <c r="F4" s="158">
        <f>C35/'4. Capacitati de retea'!D5</f>
        <v>0.52722646820402219</v>
      </c>
      <c r="G4" s="159" t="s">
        <v>71</v>
      </c>
    </row>
    <row r="5" spans="2:14" x14ac:dyDescent="0.25">
      <c r="B5" s="149" t="s">
        <v>2</v>
      </c>
      <c r="C5" s="151" t="s">
        <v>67</v>
      </c>
    </row>
    <row r="6" spans="2:14" ht="15.75" thickBot="1" x14ac:dyDescent="0.3">
      <c r="B6" s="152" t="s">
        <v>73</v>
      </c>
      <c r="C6" s="514">
        <v>203458.55</v>
      </c>
    </row>
    <row r="7" spans="2:14" ht="16.5" thickTop="1" thickBot="1" x14ac:dyDescent="0.3">
      <c r="B7" s="152" t="s">
        <v>74</v>
      </c>
      <c r="C7" s="514">
        <v>455233.15</v>
      </c>
      <c r="E7" s="16"/>
      <c r="F7" s="217" t="s">
        <v>138</v>
      </c>
      <c r="G7" s="218">
        <v>2009</v>
      </c>
      <c r="H7" s="218">
        <v>2010</v>
      </c>
      <c r="I7" s="218">
        <v>2011</v>
      </c>
      <c r="J7" s="219">
        <v>2012</v>
      </c>
      <c r="K7" s="218">
        <v>2013</v>
      </c>
      <c r="L7"/>
      <c r="M7" s="218" t="s">
        <v>190</v>
      </c>
      <c r="N7" s="218" t="s">
        <v>254</v>
      </c>
    </row>
    <row r="8" spans="2:14" ht="16.5" thickTop="1" thickBot="1" x14ac:dyDescent="0.3">
      <c r="B8" s="153" t="s">
        <v>3</v>
      </c>
      <c r="C8" s="515">
        <v>296455.12</v>
      </c>
      <c r="E8" s="16"/>
      <c r="F8" s="220" t="s">
        <v>191</v>
      </c>
      <c r="G8" s="516">
        <v>96.45</v>
      </c>
      <c r="H8" s="516">
        <v>84.402752077127445</v>
      </c>
      <c r="I8" s="516">
        <v>53.15</v>
      </c>
      <c r="J8" s="517">
        <v>73.81</v>
      </c>
      <c r="K8" s="516">
        <v>46.33</v>
      </c>
      <c r="L8"/>
      <c r="M8" s="516">
        <v>71.56</v>
      </c>
      <c r="N8" s="516">
        <v>48.55</v>
      </c>
    </row>
    <row r="9" spans="2:14" ht="16.5" thickTop="1" thickBot="1" x14ac:dyDescent="0.3">
      <c r="E9" s="2"/>
      <c r="F9" s="220" t="s">
        <v>192</v>
      </c>
      <c r="G9" s="516">
        <v>3.45</v>
      </c>
      <c r="H9" s="516">
        <v>2.11</v>
      </c>
      <c r="I9" s="516">
        <v>2.99</v>
      </c>
      <c r="J9" s="517">
        <v>4.05</v>
      </c>
      <c r="K9" s="516">
        <v>2.5499999999999998</v>
      </c>
      <c r="L9"/>
      <c r="M9" s="516">
        <v>4.0999999999999996</v>
      </c>
      <c r="N9" s="516">
        <v>2.0699999999999998</v>
      </c>
    </row>
    <row r="10" spans="2:14" ht="16.5" thickTop="1" thickBot="1" x14ac:dyDescent="0.3">
      <c r="B10" s="556" t="s">
        <v>80</v>
      </c>
      <c r="C10" s="556"/>
      <c r="E10" s="2"/>
      <c r="F10" s="221" t="s">
        <v>42</v>
      </c>
      <c r="G10" s="222">
        <f>G9*$G$23</f>
        <v>17.25</v>
      </c>
      <c r="H10" s="222">
        <f t="shared" ref="H10:K10" si="0">H9*$G$23</f>
        <v>10.549999999999999</v>
      </c>
      <c r="I10" s="222">
        <f t="shared" si="0"/>
        <v>14.950000000000001</v>
      </c>
      <c r="J10" s="223">
        <f t="shared" si="0"/>
        <v>20.25</v>
      </c>
      <c r="K10" s="222">
        <f t="shared" si="0"/>
        <v>12.75</v>
      </c>
      <c r="L10"/>
      <c r="M10" s="518">
        <v>5.21</v>
      </c>
      <c r="N10" s="518">
        <v>7.88</v>
      </c>
    </row>
    <row r="11" spans="2:14" ht="16.5" thickTop="1" thickBot="1" x14ac:dyDescent="0.3">
      <c r="B11" s="149" t="s">
        <v>2</v>
      </c>
      <c r="C11" s="151" t="s">
        <v>68</v>
      </c>
      <c r="E11" s="16"/>
      <c r="F11" s="221" t="s">
        <v>43</v>
      </c>
      <c r="G11" s="222">
        <f>G9*$G$24</f>
        <v>37.950000000000003</v>
      </c>
      <c r="H11" s="222">
        <f t="shared" ref="H11:K11" si="1">H9*$G$24</f>
        <v>23.209999999999997</v>
      </c>
      <c r="I11" s="222">
        <f t="shared" si="1"/>
        <v>32.89</v>
      </c>
      <c r="J11" s="223">
        <f t="shared" si="1"/>
        <v>44.55</v>
      </c>
      <c r="K11" s="222">
        <f t="shared" si="1"/>
        <v>28.049999999999997</v>
      </c>
      <c r="L11"/>
      <c r="M11" s="518">
        <v>15.33</v>
      </c>
      <c r="N11" s="518">
        <v>21.33</v>
      </c>
    </row>
    <row r="12" spans="2:14" ht="16.5" thickTop="1" thickBot="1" x14ac:dyDescent="0.3">
      <c r="B12" s="152" t="s">
        <v>73</v>
      </c>
      <c r="C12" s="514">
        <v>11231459.222999999</v>
      </c>
      <c r="E12" s="16"/>
      <c r="F12" s="221" t="s">
        <v>44</v>
      </c>
      <c r="G12" s="222">
        <f>G9*$G$25</f>
        <v>72.45</v>
      </c>
      <c r="H12" s="222">
        <f t="shared" ref="H12:K12" si="2">H9*$G$25</f>
        <v>44.309999999999995</v>
      </c>
      <c r="I12" s="222">
        <f t="shared" si="2"/>
        <v>62.790000000000006</v>
      </c>
      <c r="J12" s="223">
        <f t="shared" si="2"/>
        <v>85.05</v>
      </c>
      <c r="K12" s="222">
        <f t="shared" si="2"/>
        <v>53.55</v>
      </c>
      <c r="L12"/>
      <c r="M12" s="518">
        <v>23.66</v>
      </c>
      <c r="N12" s="518">
        <v>23.15</v>
      </c>
    </row>
    <row r="13" spans="2:14" ht="16.5" thickTop="1" thickBot="1" x14ac:dyDescent="0.3">
      <c r="B13" s="152" t="s">
        <v>74</v>
      </c>
      <c r="C13" s="514">
        <v>7563412.159</v>
      </c>
      <c r="E13" s="16"/>
      <c r="F13" s="221" t="s">
        <v>45</v>
      </c>
      <c r="G13" s="222">
        <f>G9*$G$26</f>
        <v>31.05</v>
      </c>
      <c r="H13" s="222">
        <f t="shared" ref="H13:K13" si="3">H9*$G$26</f>
        <v>18.989999999999998</v>
      </c>
      <c r="I13" s="222">
        <f t="shared" si="3"/>
        <v>26.910000000000004</v>
      </c>
      <c r="J13" s="223">
        <f t="shared" si="3"/>
        <v>36.449999999999996</v>
      </c>
      <c r="K13" s="222">
        <f t="shared" si="3"/>
        <v>22.95</v>
      </c>
      <c r="L13"/>
      <c r="M13" s="518">
        <v>48.15</v>
      </c>
      <c r="N13" s="518">
        <v>41.99</v>
      </c>
    </row>
    <row r="14" spans="2:14" ht="16.5" thickTop="1" thickBot="1" x14ac:dyDescent="0.3">
      <c r="B14" s="153" t="s">
        <v>3</v>
      </c>
      <c r="C14" s="515">
        <v>2003456.4779999999</v>
      </c>
      <c r="F14" s="224"/>
      <c r="G14" s="225"/>
      <c r="H14" s="226"/>
      <c r="I14" s="227"/>
      <c r="J14" s="227"/>
      <c r="K14" s="227"/>
      <c r="L14"/>
      <c r="M14" s="227"/>
      <c r="N14" s="227"/>
    </row>
    <row r="15" spans="2:14" ht="16.5" thickTop="1" thickBot="1" x14ac:dyDescent="0.3">
      <c r="F15" s="559" t="s">
        <v>193</v>
      </c>
      <c r="G15" s="228"/>
      <c r="H15" s="227"/>
      <c r="I15" s="227"/>
      <c r="J15" s="227"/>
      <c r="K15" s="227"/>
      <c r="L15"/>
      <c r="M15" s="227"/>
      <c r="N15" s="227"/>
    </row>
    <row r="16" spans="2:14" ht="16.5" thickTop="1" thickBot="1" x14ac:dyDescent="0.3">
      <c r="B16" s="556" t="s">
        <v>69</v>
      </c>
      <c r="C16" s="556"/>
      <c r="F16" s="560"/>
      <c r="G16" s="218">
        <v>2009</v>
      </c>
      <c r="H16" s="218">
        <v>2010</v>
      </c>
      <c r="I16" s="218">
        <v>2011</v>
      </c>
      <c r="J16" s="219">
        <v>2012</v>
      </c>
      <c r="K16" s="218">
        <v>2013</v>
      </c>
      <c r="L16"/>
      <c r="M16" s="218" t="s">
        <v>190</v>
      </c>
      <c r="N16" s="218" t="s">
        <v>254</v>
      </c>
    </row>
    <row r="17" spans="2:14" ht="16.5" thickTop="1" thickBot="1" x14ac:dyDescent="0.3">
      <c r="B17" s="149" t="s">
        <v>2</v>
      </c>
      <c r="C17" s="151" t="s">
        <v>68</v>
      </c>
      <c r="F17" s="221" t="s">
        <v>42</v>
      </c>
      <c r="G17" s="222">
        <f>G8+G10</f>
        <v>113.7</v>
      </c>
      <c r="H17" s="222">
        <f t="shared" ref="H17:J17" si="4">H8+H10</f>
        <v>94.952752077127442</v>
      </c>
      <c r="I17" s="222">
        <f t="shared" si="4"/>
        <v>68.099999999999994</v>
      </c>
      <c r="J17" s="223">
        <f t="shared" si="4"/>
        <v>94.06</v>
      </c>
      <c r="K17" s="222">
        <f>K8+K10</f>
        <v>59.08</v>
      </c>
      <c r="L17"/>
      <c r="M17" s="518">
        <v>63.15</v>
      </c>
      <c r="N17" s="518">
        <v>71.55</v>
      </c>
    </row>
    <row r="18" spans="2:14" ht="16.5" thickTop="1" thickBot="1" x14ac:dyDescent="0.3">
      <c r="B18" s="152" t="s">
        <v>73</v>
      </c>
      <c r="C18" s="514">
        <v>569412.78419999999</v>
      </c>
      <c r="F18" s="221" t="s">
        <v>43</v>
      </c>
      <c r="G18" s="222">
        <f>G8+G11</f>
        <v>134.4</v>
      </c>
      <c r="H18" s="222">
        <f t="shared" ref="H18:K18" si="5">H8+H11</f>
        <v>107.61275207712744</v>
      </c>
      <c r="I18" s="222">
        <f t="shared" si="5"/>
        <v>86.039999999999992</v>
      </c>
      <c r="J18" s="223">
        <f t="shared" si="5"/>
        <v>118.36</v>
      </c>
      <c r="K18" s="222">
        <f t="shared" si="5"/>
        <v>74.38</v>
      </c>
      <c r="L18"/>
      <c r="M18" s="518">
        <v>93.66</v>
      </c>
      <c r="N18" s="518">
        <v>45.63</v>
      </c>
    </row>
    <row r="19" spans="2:14" ht="16.5" thickTop="1" thickBot="1" x14ac:dyDescent="0.3">
      <c r="B19" s="152" t="s">
        <v>74</v>
      </c>
      <c r="C19" s="514">
        <v>786321.41229999997</v>
      </c>
      <c r="F19" s="221" t="s">
        <v>44</v>
      </c>
      <c r="G19" s="222">
        <f>G8+G12</f>
        <v>168.9</v>
      </c>
      <c r="H19" s="222">
        <f t="shared" ref="H19:K19" si="6">H8+H12</f>
        <v>128.71275207712745</v>
      </c>
      <c r="I19" s="222">
        <f t="shared" si="6"/>
        <v>115.94</v>
      </c>
      <c r="J19" s="223">
        <f t="shared" si="6"/>
        <v>158.86000000000001</v>
      </c>
      <c r="K19" s="222">
        <f t="shared" si="6"/>
        <v>99.88</v>
      </c>
      <c r="L19"/>
      <c r="M19" s="518">
        <v>102.14</v>
      </c>
      <c r="N19" s="518">
        <v>78.989999999999995</v>
      </c>
    </row>
    <row r="20" spans="2:14" ht="16.5" thickTop="1" thickBot="1" x14ac:dyDescent="0.3">
      <c r="B20" s="153" t="s">
        <v>3</v>
      </c>
      <c r="C20" s="515">
        <v>2369741.1233999999</v>
      </c>
      <c r="F20" s="221" t="s">
        <v>45</v>
      </c>
      <c r="G20" s="222">
        <f>G8+G13</f>
        <v>127.5</v>
      </c>
      <c r="H20" s="222">
        <f t="shared" ref="H20:K20" si="7">H8+H13</f>
        <v>103.39275207712744</v>
      </c>
      <c r="I20" s="222">
        <f t="shared" si="7"/>
        <v>80.06</v>
      </c>
      <c r="J20" s="223">
        <f t="shared" si="7"/>
        <v>110.25999999999999</v>
      </c>
      <c r="K20" s="222">
        <f t="shared" si="7"/>
        <v>69.28</v>
      </c>
      <c r="L20"/>
      <c r="M20" s="518">
        <v>111.23</v>
      </c>
      <c r="N20" s="518">
        <v>86.12</v>
      </c>
    </row>
    <row r="21" spans="2:14" ht="15.75" thickTop="1" x14ac:dyDescent="0.25">
      <c r="F21" s="229"/>
      <c r="G21" s="226"/>
      <c r="H21" s="227"/>
      <c r="I21" s="227"/>
      <c r="J21" s="227"/>
      <c r="K21" s="227"/>
      <c r="L21"/>
      <c r="M21" s="227"/>
      <c r="N21" s="227"/>
    </row>
    <row r="22" spans="2:14" x14ac:dyDescent="0.25">
      <c r="B22" s="154" t="s">
        <v>77</v>
      </c>
      <c r="F22" s="555" t="s">
        <v>194</v>
      </c>
      <c r="G22" s="555"/>
      <c r="H22"/>
      <c r="I22"/>
      <c r="J22"/>
      <c r="K22"/>
      <c r="L22"/>
      <c r="M22"/>
      <c r="N22"/>
    </row>
    <row r="23" spans="2:14" x14ac:dyDescent="0.25">
      <c r="F23" s="230" t="s">
        <v>42</v>
      </c>
      <c r="G23" s="519">
        <v>5</v>
      </c>
      <c r="H23"/>
      <c r="I23"/>
      <c r="J23"/>
      <c r="K23"/>
      <c r="L23"/>
      <c r="M23"/>
      <c r="N23"/>
    </row>
    <row r="24" spans="2:14" ht="15.75" thickBot="1" x14ac:dyDescent="0.3">
      <c r="B24" s="2"/>
      <c r="C24" s="62" t="s">
        <v>83</v>
      </c>
      <c r="D24" s="62" t="s">
        <v>66</v>
      </c>
      <c r="F24" s="230" t="s">
        <v>43</v>
      </c>
      <c r="G24" s="519">
        <v>11</v>
      </c>
      <c r="H24"/>
      <c r="I24"/>
      <c r="J24"/>
      <c r="K24"/>
      <c r="L24"/>
      <c r="M24"/>
      <c r="N24"/>
    </row>
    <row r="25" spans="2:14" x14ac:dyDescent="0.25">
      <c r="B25" s="165" t="s">
        <v>81</v>
      </c>
      <c r="C25" s="44">
        <f>F3*'4. Capacitati de retea'!E14+(0+'4. Capacitati de retea'!E10)*Materiale!F4</f>
        <v>4961345.8652647343</v>
      </c>
      <c r="D25" s="168">
        <f>C25/SUM(C25:C27)</f>
        <v>0.7079301643549748</v>
      </c>
      <c r="F25" s="230" t="s">
        <v>44</v>
      </c>
      <c r="G25" s="519">
        <v>21</v>
      </c>
      <c r="H25"/>
      <c r="I25"/>
      <c r="J25"/>
      <c r="K25"/>
      <c r="L25"/>
      <c r="M25"/>
      <c r="N25" s="231"/>
    </row>
    <row r="26" spans="2:14" x14ac:dyDescent="0.25">
      <c r="B26" s="165" t="s">
        <v>82</v>
      </c>
      <c r="C26" s="45">
        <f>F3*'4. Capacitati de retea'!G14+(0+'4. Capacitati de retea'!G10)*Materiale!F4</f>
        <v>1443820.3730725485</v>
      </c>
      <c r="D26" s="169">
        <f>C26/SUM(C25:C27)</f>
        <v>0.20601748432101505</v>
      </c>
      <c r="F26" s="230" t="s">
        <v>45</v>
      </c>
      <c r="G26" s="519">
        <v>9</v>
      </c>
      <c r="H26"/>
      <c r="I26"/>
      <c r="J26"/>
      <c r="K26"/>
      <c r="L26"/>
      <c r="M26"/>
      <c r="N26"/>
    </row>
    <row r="27" spans="2:14" x14ac:dyDescent="0.25">
      <c r="B27" s="165" t="s">
        <v>86</v>
      </c>
      <c r="C27" s="45">
        <f>'1. CAPEX'!G32-Materiale!C26-Materiale!C25</f>
        <v>603075.69720056374</v>
      </c>
      <c r="D27" s="169">
        <f>C27/SUM(C25:C27)</f>
        <v>8.6052351324010151E-2</v>
      </c>
    </row>
    <row r="28" spans="2:14" x14ac:dyDescent="0.25">
      <c r="B28" s="166" t="s">
        <v>84</v>
      </c>
      <c r="C28" s="170">
        <f>'4. Capacitati de retea'!F17*Materiale!C27</f>
        <v>404112.01279355731</v>
      </c>
      <c r="D28" s="171">
        <f>C28/SUM(C25:C27)</f>
        <v>5.7662394721900219E-2</v>
      </c>
    </row>
    <row r="29" spans="2:14" x14ac:dyDescent="0.25">
      <c r="B29" s="166" t="s">
        <v>85</v>
      </c>
      <c r="C29" s="170">
        <f>'4. Capacitati de retea'!H17*Materiale!C27</f>
        <v>198963.68440700643</v>
      </c>
      <c r="D29" s="171">
        <f>C29/SUM(C25:C27)</f>
        <v>2.8389956602109939E-2</v>
      </c>
    </row>
    <row r="30" spans="2:14" x14ac:dyDescent="0.25">
      <c r="B30" s="167" t="s">
        <v>78</v>
      </c>
      <c r="C30" s="172">
        <f>SUM(C25:C27)</f>
        <v>7008241.9355378468</v>
      </c>
      <c r="D30" s="173">
        <f>C30/C30</f>
        <v>1</v>
      </c>
    </row>
    <row r="31" spans="2:14" x14ac:dyDescent="0.25">
      <c r="B31" s="166" t="s">
        <v>87</v>
      </c>
      <c r="C31" s="170">
        <f>C28+C25</f>
        <v>5365457.878058292</v>
      </c>
      <c r="D31" s="171">
        <f>C31/C30</f>
        <v>0.76559255907687507</v>
      </c>
    </row>
    <row r="32" spans="2:14" ht="15.75" thickBot="1" x14ac:dyDescent="0.3">
      <c r="B32" s="166" t="s">
        <v>88</v>
      </c>
      <c r="C32" s="174">
        <f>C29+C26</f>
        <v>1642784.057479555</v>
      </c>
      <c r="D32" s="175">
        <f>C32/C30</f>
        <v>0.23440744092312499</v>
      </c>
    </row>
    <row r="33" spans="2:3" ht="15.75" thickBot="1" x14ac:dyDescent="0.3">
      <c r="B33" s="2"/>
    </row>
    <row r="34" spans="2:3" x14ac:dyDescent="0.25">
      <c r="B34" s="165" t="s">
        <v>116</v>
      </c>
      <c r="C34" s="196">
        <f>C18+C12+C6</f>
        <v>12004330.5572</v>
      </c>
    </row>
    <row r="35" spans="2:3" ht="15.75" thickBot="1" x14ac:dyDescent="0.3">
      <c r="B35" s="165" t="s">
        <v>117</v>
      </c>
      <c r="C35" s="197">
        <f>C19+C13+C7</f>
        <v>8804966.7213000003</v>
      </c>
    </row>
  </sheetData>
  <mergeCells count="7">
    <mergeCell ref="F22:G22"/>
    <mergeCell ref="B16:C16"/>
    <mergeCell ref="F2:G2"/>
    <mergeCell ref="B2:C2"/>
    <mergeCell ref="B4:C4"/>
    <mergeCell ref="B10:C10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13"/>
  <sheetViews>
    <sheetView tabSelected="1" zoomScale="120" zoomScaleNormal="120" workbookViewId="0">
      <selection activeCell="E26" sqref="E26"/>
    </sheetView>
  </sheetViews>
  <sheetFormatPr defaultColWidth="9.140625" defaultRowHeight="11.25" x14ac:dyDescent="0.2"/>
  <cols>
    <col min="1" max="1" width="1.42578125" style="1" customWidth="1"/>
    <col min="2" max="2" width="24.140625" style="1" customWidth="1"/>
    <col min="3" max="3" width="15.5703125" style="1" customWidth="1"/>
    <col min="4" max="4" width="17.5703125" style="1" customWidth="1"/>
    <col min="5" max="5" width="20.28515625" style="1" customWidth="1"/>
    <col min="6" max="6" width="17.5703125" style="1" bestFit="1" customWidth="1"/>
    <col min="7" max="16384" width="9.140625" style="1"/>
  </cols>
  <sheetData>
    <row r="1" spans="2:10" x14ac:dyDescent="0.2">
      <c r="E1" s="315"/>
    </row>
    <row r="3" spans="2:10" ht="15.75" x14ac:dyDescent="0.25">
      <c r="B3" s="521" t="s">
        <v>272</v>
      </c>
      <c r="C3" s="521"/>
      <c r="D3" s="521"/>
      <c r="E3" s="521"/>
      <c r="F3" s="521"/>
      <c r="G3" s="522"/>
      <c r="H3" s="522"/>
      <c r="I3" s="522"/>
      <c r="J3" s="522"/>
    </row>
    <row r="4" spans="2:10" ht="15.75" x14ac:dyDescent="0.25">
      <c r="B4" s="533" t="s">
        <v>279</v>
      </c>
    </row>
    <row r="6" spans="2:10" ht="12" thickBot="1" x14ac:dyDescent="0.25"/>
    <row r="7" spans="2:10" ht="12" thickBot="1" x14ac:dyDescent="0.25">
      <c r="B7" s="176" t="s">
        <v>243</v>
      </c>
      <c r="C7" s="101" t="s">
        <v>246</v>
      </c>
      <c r="D7" s="101" t="s">
        <v>244</v>
      </c>
      <c r="E7" s="101" t="s">
        <v>245</v>
      </c>
      <c r="F7" s="101" t="s">
        <v>250</v>
      </c>
    </row>
    <row r="8" spans="2:10" ht="13.5" thickBot="1" x14ac:dyDescent="0.25">
      <c r="B8" s="176" t="s">
        <v>247</v>
      </c>
      <c r="C8" s="373" t="s">
        <v>14</v>
      </c>
      <c r="D8" s="395">
        <v>20</v>
      </c>
      <c r="E8" s="395">
        <v>40</v>
      </c>
      <c r="F8" s="395">
        <v>22</v>
      </c>
    </row>
    <row r="9" spans="2:10" ht="13.5" thickBot="1" x14ac:dyDescent="0.25">
      <c r="B9" s="176" t="s">
        <v>278</v>
      </c>
      <c r="C9" s="369">
        <f>'Matrice de alocare'!D32</f>
        <v>70.64029516967183</v>
      </c>
      <c r="D9" s="369">
        <f>'Matrice de alocare'!E32/1000*D8</f>
        <v>4.9216922705560266</v>
      </c>
      <c r="E9" s="369">
        <f>'Matrice de alocare'!E32/1000*E8</f>
        <v>9.8433845411120533</v>
      </c>
      <c r="F9" s="369">
        <f>'Matrice de alocare'!F32/1000*F8</f>
        <v>7.6968536443618918</v>
      </c>
      <c r="G9" s="1" t="s">
        <v>277</v>
      </c>
    </row>
    <row r="10" spans="2:10" ht="12.75" x14ac:dyDescent="0.2">
      <c r="B10" s="531" t="s">
        <v>273</v>
      </c>
      <c r="C10" s="532">
        <v>75.973822669649863</v>
      </c>
      <c r="D10" s="532">
        <v>3.02086029642857</v>
      </c>
      <c r="E10" s="532">
        <v>10.867963579885783</v>
      </c>
      <c r="F10" s="532">
        <v>8.0258288829081863</v>
      </c>
      <c r="G10" s="1" t="s">
        <v>277</v>
      </c>
    </row>
    <row r="13" spans="2:10" x14ac:dyDescent="0.2">
      <c r="C13" s="385"/>
      <c r="D13" s="385"/>
      <c r="E13" s="385"/>
      <c r="F13" s="385"/>
      <c r="G13" s="38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52"/>
  <sheetViews>
    <sheetView topLeftCell="A19" zoomScale="110" zoomScaleNormal="110" workbookViewId="0">
      <selection activeCell="B1" sqref="B1"/>
    </sheetView>
  </sheetViews>
  <sheetFormatPr defaultColWidth="9.140625" defaultRowHeight="11.25" customHeight="1" x14ac:dyDescent="0.2"/>
  <cols>
    <col min="1" max="1" width="2.5703125" style="1" customWidth="1"/>
    <col min="2" max="2" width="47.140625" style="2" customWidth="1"/>
    <col min="3" max="3" width="16.5703125" style="16" bestFit="1" customWidth="1"/>
    <col min="4" max="4" width="18.28515625" style="16" customWidth="1"/>
    <col min="5" max="5" width="16.5703125" style="16" customWidth="1"/>
    <col min="6" max="6" width="22.42578125" style="2" customWidth="1"/>
    <col min="7" max="7" width="20.5703125" style="2" customWidth="1"/>
    <col min="8" max="8" width="20.42578125" style="2" customWidth="1"/>
    <col min="9" max="9" width="12.5703125" style="2" bestFit="1" customWidth="1"/>
    <col min="10" max="10" width="12.42578125" style="7" customWidth="1"/>
    <col min="11" max="16384" width="9.140625" style="1"/>
  </cols>
  <sheetData>
    <row r="1" spans="2:10" ht="11.25" customHeight="1" thickBot="1" x14ac:dyDescent="0.25">
      <c r="B1" s="233"/>
    </row>
    <row r="2" spans="2:10" ht="11.25" customHeight="1" x14ac:dyDescent="0.2">
      <c r="B2" s="10"/>
      <c r="D2" s="537"/>
      <c r="E2" s="537"/>
      <c r="F2" s="538"/>
      <c r="G2" s="539" t="s">
        <v>290</v>
      </c>
      <c r="H2" s="540"/>
      <c r="I2" s="520" t="s">
        <v>295</v>
      </c>
      <c r="J2" s="21"/>
    </row>
    <row r="3" spans="2:10" ht="34.5" thickBot="1" x14ac:dyDescent="0.25">
      <c r="B3" s="142" t="s">
        <v>61</v>
      </c>
      <c r="C3" s="66" t="s">
        <v>286</v>
      </c>
      <c r="D3" s="143" t="s">
        <v>64</v>
      </c>
      <c r="E3" s="143" t="s">
        <v>65</v>
      </c>
      <c r="F3" s="67" t="s">
        <v>287</v>
      </c>
      <c r="G3" s="68" t="s">
        <v>291</v>
      </c>
      <c r="H3" s="68" t="s">
        <v>293</v>
      </c>
      <c r="I3" s="68" t="s">
        <v>294</v>
      </c>
      <c r="J3" s="19"/>
    </row>
    <row r="4" spans="2:10" ht="31.5" customHeight="1" thickBot="1" x14ac:dyDescent="0.25">
      <c r="B4" s="82" t="s">
        <v>27</v>
      </c>
      <c r="C4" s="83"/>
      <c r="D4" s="84" t="s">
        <v>288</v>
      </c>
      <c r="E4" s="84" t="s">
        <v>288</v>
      </c>
      <c r="F4" s="84" t="s">
        <v>289</v>
      </c>
      <c r="G4" s="84" t="s">
        <v>292</v>
      </c>
      <c r="H4" s="84" t="s">
        <v>292</v>
      </c>
      <c r="I4" s="84" t="s">
        <v>17</v>
      </c>
      <c r="J4" s="19"/>
    </row>
    <row r="5" spans="2:10" ht="26.25" customHeight="1" x14ac:dyDescent="0.2">
      <c r="B5" s="82" t="s">
        <v>28</v>
      </c>
      <c r="C5" s="85"/>
      <c r="D5" s="86" t="s">
        <v>285</v>
      </c>
      <c r="E5" s="86" t="s">
        <v>285</v>
      </c>
      <c r="F5" s="86" t="s">
        <v>285</v>
      </c>
      <c r="G5" s="84" t="s">
        <v>292</v>
      </c>
      <c r="H5" s="84" t="s">
        <v>292</v>
      </c>
      <c r="I5" s="86" t="s">
        <v>296</v>
      </c>
      <c r="J5" s="19"/>
    </row>
    <row r="6" spans="2:10" ht="11.25" customHeight="1" x14ac:dyDescent="0.2">
      <c r="B6" s="54" t="s">
        <v>13</v>
      </c>
      <c r="C6" s="53"/>
      <c r="D6" s="64"/>
      <c r="E6" s="64"/>
      <c r="F6" s="65"/>
      <c r="G6" s="65"/>
      <c r="H6" s="65"/>
      <c r="I6" s="65"/>
      <c r="J6" s="19"/>
    </row>
    <row r="7" spans="2:10" ht="11.25" customHeight="1" x14ac:dyDescent="0.2">
      <c r="B7" s="46" t="s">
        <v>206</v>
      </c>
      <c r="C7" s="375">
        <f>'1. CAPEX'!N62/12</f>
        <v>226107.33221259547</v>
      </c>
      <c r="D7" s="15">
        <f>C7*'4. Capacitati de retea'!F17/'4. Capacitati de retea'!E10*1000</f>
        <v>33.000168425407857</v>
      </c>
      <c r="E7" s="15">
        <f>C7*'4. Capacitati de retea'!H17/'4. Capacitati de retea'!G10*1000</f>
        <v>120.37186070765702</v>
      </c>
      <c r="F7" s="47">
        <f>E7/'4. Capacitati de retea'!D22</f>
        <v>148.37674258658129</v>
      </c>
      <c r="G7" s="48">
        <v>0</v>
      </c>
      <c r="H7" s="48">
        <v>0</v>
      </c>
      <c r="I7" s="48">
        <v>0</v>
      </c>
    </row>
    <row r="8" spans="2:10" ht="11.25" customHeight="1" x14ac:dyDescent="0.2">
      <c r="B8" s="46" t="s">
        <v>56</v>
      </c>
      <c r="C8" s="375">
        <f>'1. CAPEX'!N66/12</f>
        <v>15445.900659776655</v>
      </c>
      <c r="D8" s="15">
        <f>C8/'4. Capacitati de retea'!E10*1000</f>
        <v>3.3642233038262566</v>
      </c>
      <c r="E8" s="15">
        <v>0</v>
      </c>
      <c r="F8" s="47">
        <v>0</v>
      </c>
      <c r="G8" s="48"/>
      <c r="H8" s="48"/>
      <c r="I8" s="48"/>
    </row>
    <row r="9" spans="2:10" ht="11.25" customHeight="1" x14ac:dyDescent="0.2">
      <c r="B9" s="46" t="s">
        <v>57</v>
      </c>
      <c r="C9" s="375">
        <f>'1. CAPEX'!N67/12</f>
        <v>9460.0578017989938</v>
      </c>
      <c r="D9" s="15">
        <v>0</v>
      </c>
      <c r="E9" s="15">
        <f>C9/'4. Capacitati de retea'!G10*1000</f>
        <v>15.265187076584692</v>
      </c>
      <c r="F9" s="47">
        <f>E9/'4. Capacitati de retea'!D22</f>
        <v>18.816679580116638</v>
      </c>
      <c r="G9" s="48"/>
      <c r="H9" s="48"/>
      <c r="I9" s="48"/>
    </row>
    <row r="10" spans="2:10" ht="11.25" customHeight="1" x14ac:dyDescent="0.2">
      <c r="B10" s="46" t="s">
        <v>58</v>
      </c>
      <c r="C10" s="375">
        <f>'1. CAPEX'!N68/12</f>
        <v>862.02032820961585</v>
      </c>
      <c r="D10" s="15">
        <v>0</v>
      </c>
      <c r="E10" s="15">
        <v>0</v>
      </c>
      <c r="F10" s="15">
        <f>C10/'4. Capacitati de retea'!D21*1000</f>
        <v>23.456335461486145</v>
      </c>
      <c r="G10" s="48"/>
      <c r="H10" s="48"/>
      <c r="I10" s="48"/>
    </row>
    <row r="11" spans="2:10" ht="11.25" customHeight="1" x14ac:dyDescent="0.2">
      <c r="B11" s="46" t="s">
        <v>208</v>
      </c>
      <c r="C11" s="375">
        <f>'1. CAPEX'!N70/12</f>
        <v>20041.392459141469</v>
      </c>
      <c r="D11" s="15">
        <f>C11*Materiale!D31/'4. Capacitati de retea'!E10*1000</f>
        <v>3.3419286535263106</v>
      </c>
      <c r="E11" s="15">
        <f>C11*Materiale!D32/'4. Capacitati de retea'!G10*1000</f>
        <v>7.5806706255150518</v>
      </c>
      <c r="F11" s="15">
        <f>E11/'4. Capacitati de retea'!D22</f>
        <v>9.3443368526756956</v>
      </c>
      <c r="G11" s="48">
        <v>0</v>
      </c>
      <c r="H11" s="48">
        <v>0</v>
      </c>
      <c r="I11" s="48">
        <v>0</v>
      </c>
    </row>
    <row r="12" spans="2:10" ht="11.25" customHeight="1" x14ac:dyDescent="0.2">
      <c r="B12" s="46" t="s">
        <v>59</v>
      </c>
      <c r="C12" s="375">
        <f>'1. CAPEX'!N72/12</f>
        <v>5665.9572876734428</v>
      </c>
      <c r="D12" s="15">
        <f>C12/'4. Capacitati de retea'!E10*1000</f>
        <v>1.234084432208878</v>
      </c>
      <c r="E12" s="15">
        <v>0</v>
      </c>
      <c r="F12" s="15">
        <f>D12/'4. Capacitati de retea'!$D$22</f>
        <v>1.5211979531717597</v>
      </c>
      <c r="G12" s="48"/>
      <c r="H12" s="48"/>
      <c r="I12" s="48"/>
    </row>
    <row r="13" spans="2:10" ht="11.25" customHeight="1" x14ac:dyDescent="0.2">
      <c r="B13" s="46" t="s">
        <v>60</v>
      </c>
      <c r="C13" s="375">
        <f>'1. CAPEX'!N73/12</f>
        <v>824.09477969167199</v>
      </c>
      <c r="D13" s="15">
        <v>0</v>
      </c>
      <c r="E13" s="15">
        <f>C13/'4. Capacitati de retea'!G10*1000</f>
        <v>1.3297974752794768</v>
      </c>
      <c r="F13" s="15">
        <f>E13/'4. Capacitati de retea'!D22</f>
        <v>1.6391789287118448</v>
      </c>
      <c r="G13" s="48"/>
      <c r="H13" s="48"/>
      <c r="I13" s="48"/>
    </row>
    <row r="14" spans="2:10" ht="11.25" customHeight="1" x14ac:dyDescent="0.2">
      <c r="B14" s="46" t="s">
        <v>104</v>
      </c>
      <c r="C14" s="375">
        <f>'1. CAPEX'!N74/12</f>
        <v>195.25765752940458</v>
      </c>
      <c r="D14" s="48">
        <v>0</v>
      </c>
      <c r="E14" s="48">
        <v>0</v>
      </c>
      <c r="F14" s="15">
        <f>C14/'4. Capacitati de retea'!$D$21*1000</f>
        <v>5.3131335382150908</v>
      </c>
      <c r="G14" s="48">
        <v>0</v>
      </c>
      <c r="H14" s="48">
        <v>0</v>
      </c>
      <c r="I14" s="48">
        <v>0</v>
      </c>
    </row>
    <row r="15" spans="2:10" ht="11.25" customHeight="1" x14ac:dyDescent="0.2">
      <c r="B15" s="46" t="s">
        <v>284</v>
      </c>
      <c r="C15" s="375">
        <f>'1. CAPEX'!N75/12</f>
        <v>76.459860419727676</v>
      </c>
      <c r="D15" s="48">
        <v>0</v>
      </c>
      <c r="E15" s="48">
        <v>0</v>
      </c>
      <c r="F15" s="15">
        <f>C15/'4. Capacitati de retea'!$D$21*1000</f>
        <v>2.0805404195844268</v>
      </c>
      <c r="G15" s="48">
        <v>0</v>
      </c>
      <c r="H15" s="48">
        <v>0</v>
      </c>
      <c r="I15" s="48">
        <v>0</v>
      </c>
    </row>
    <row r="16" spans="2:10" ht="11.25" customHeight="1" x14ac:dyDescent="0.2">
      <c r="B16" s="54" t="s">
        <v>1</v>
      </c>
      <c r="C16" s="53"/>
      <c r="D16" s="49"/>
      <c r="E16" s="49"/>
      <c r="F16" s="6"/>
      <c r="G16" s="6"/>
      <c r="H16" s="6"/>
      <c r="I16" s="6"/>
    </row>
    <row r="17" spans="2:10" ht="11.25" customHeight="1" x14ac:dyDescent="0.2">
      <c r="B17" s="46" t="s">
        <v>19</v>
      </c>
      <c r="C17" s="52">
        <f>'3. OPEX 2017'!G3</f>
        <v>25931.421224800881</v>
      </c>
      <c r="D17" s="15">
        <f>C17*'4. Capacitati de retea'!$F$10/'4. Capacitati de retea'!$E$10*1000</f>
        <v>4.9763443463704204</v>
      </c>
      <c r="E17" s="15">
        <f>C17*'4. Capacitati de retea'!$H$10/'4. Capacitati de retea'!$G$10*1000</f>
        <v>4.9763443463704204</v>
      </c>
      <c r="F17" s="15">
        <f>E17/'4. Capacitati de retea'!$D$22</f>
        <v>6.1341060922606809</v>
      </c>
      <c r="G17" s="48">
        <v>0</v>
      </c>
      <c r="H17" s="48">
        <v>0</v>
      </c>
      <c r="I17" s="48">
        <v>0</v>
      </c>
      <c r="J17" s="19"/>
    </row>
    <row r="18" spans="2:10" ht="11.25" customHeight="1" x14ac:dyDescent="0.2">
      <c r="B18" s="46" t="s">
        <v>249</v>
      </c>
      <c r="C18" s="52">
        <f>'3. OPEX 2017'!G4</f>
        <v>1961.2186014935508</v>
      </c>
      <c r="D18" s="15">
        <f>C18*'4. Capacitati de retea'!$F$10/'4. Capacitati de retea'!$E$10*1000</f>
        <v>0.37636576163456603</v>
      </c>
      <c r="E18" s="15">
        <f>C18*'4. Capacitati de retea'!$H$10/'4. Capacitati de retea'!$G$10*1000</f>
        <v>0.37636576163456603</v>
      </c>
      <c r="F18" s="15">
        <f>E18/'4. Capacitati de retea'!$D$22</f>
        <v>0.46392840821893444</v>
      </c>
      <c r="G18" s="48"/>
      <c r="H18" s="48"/>
      <c r="I18" s="48"/>
      <c r="J18" s="19"/>
    </row>
    <row r="19" spans="2:10" ht="11.25" customHeight="1" x14ac:dyDescent="0.2">
      <c r="B19" s="46" t="s">
        <v>20</v>
      </c>
      <c r="C19" s="52">
        <f>'3. OPEX 2017'!G5</f>
        <v>3854.5234393777696</v>
      </c>
      <c r="D19" s="48">
        <v>0</v>
      </c>
      <c r="E19" s="48">
        <v>0</v>
      </c>
      <c r="F19" s="48">
        <v>0</v>
      </c>
      <c r="G19" s="50">
        <f>'Alte servicii'!E3</f>
        <v>10</v>
      </c>
      <c r="H19" s="50">
        <f>'Alte servicii'!E4</f>
        <v>15</v>
      </c>
      <c r="I19" s="48">
        <f>'Alte servicii'!E9</f>
        <v>459.70972614434885</v>
      </c>
      <c r="J19" s="19"/>
    </row>
    <row r="20" spans="2:10" ht="11.25" customHeight="1" x14ac:dyDescent="0.2">
      <c r="B20" s="46" t="s">
        <v>21</v>
      </c>
      <c r="C20" s="52">
        <f>'3. OPEX 2017'!G6</f>
        <v>5782.8979206178665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100" t="s">
        <v>5</v>
      </c>
      <c r="J20" s="19"/>
    </row>
    <row r="21" spans="2:10" ht="11.25" customHeight="1" x14ac:dyDescent="0.2">
      <c r="B21" s="46" t="s">
        <v>22</v>
      </c>
      <c r="C21" s="52">
        <f>'3. OPEX 2017'!G7</f>
        <v>2890.8511696065348</v>
      </c>
      <c r="D21" s="15">
        <f>C21/'4. Capacitati de retea'!$E$10*1000</f>
        <v>0.62964724990173049</v>
      </c>
      <c r="E21" s="15">
        <f>C21/'4. Capacitati de retea'!$G$10*1000</f>
        <v>4.6648112346856321</v>
      </c>
      <c r="F21" s="15">
        <f>E21/'4. Capacitati de retea'!D22</f>
        <v>5.7500938484696364</v>
      </c>
      <c r="G21" s="48">
        <v>0</v>
      </c>
      <c r="H21" s="48">
        <v>0</v>
      </c>
      <c r="I21" s="100" t="s">
        <v>5</v>
      </c>
      <c r="J21" s="19"/>
    </row>
    <row r="22" spans="2:10" ht="11.25" customHeight="1" x14ac:dyDescent="0.2">
      <c r="B22" s="46" t="s">
        <v>144</v>
      </c>
      <c r="C22" s="52">
        <f>'3. OPEX 2017'!G14</f>
        <v>0</v>
      </c>
      <c r="D22" s="15">
        <f>C22/('4. Capacitati de retea'!E10+'4. Capacitati de retea'!E13)*1000</f>
        <v>0</v>
      </c>
      <c r="E22" s="15">
        <f>C22/('4. Capacitati de retea'!G10+'4. Capacitati de retea'!G13)*1000</f>
        <v>0</v>
      </c>
      <c r="F22" s="15">
        <f>(C22/('4. Capacitati de retea'!G10+'4. Capacitati de retea'!G13)*1000)+C22/'4. Capacitati de retea'!D21</f>
        <v>0</v>
      </c>
      <c r="G22" s="48"/>
      <c r="H22" s="48"/>
      <c r="I22" s="100"/>
      <c r="J22" s="19"/>
    </row>
    <row r="23" spans="2:10" ht="11.25" customHeight="1" x14ac:dyDescent="0.2">
      <c r="B23" s="46" t="s">
        <v>152</v>
      </c>
      <c r="C23" s="396">
        <v>0</v>
      </c>
      <c r="D23" s="15">
        <f>C23*'4. Capacitati de retea'!$F$10/'4. Capacitati de retea'!$E$10*1000</f>
        <v>0</v>
      </c>
      <c r="E23" s="15">
        <f>C23*'4. Capacitati de retea'!$H$10/'4. Capacitati de retea'!$G$10*1000</f>
        <v>0</v>
      </c>
      <c r="F23" s="15">
        <f>E23/'4. Capacitati de retea'!$D$22</f>
        <v>0</v>
      </c>
      <c r="G23" s="48"/>
      <c r="H23" s="48"/>
      <c r="I23" s="100"/>
      <c r="J23" s="19"/>
    </row>
    <row r="24" spans="2:10" ht="11.25" customHeight="1" x14ac:dyDescent="0.2">
      <c r="B24" s="46" t="s">
        <v>143</v>
      </c>
      <c r="C24" s="52">
        <f>'3. OPEX 2017'!G8</f>
        <v>10406.604358187307</v>
      </c>
      <c r="D24" s="15">
        <f>C24/'4. Capacitati de retea'!E10*1000</f>
        <v>2.26662994063435</v>
      </c>
      <c r="E24" s="15">
        <f>C24/'4. Capacitati de retea'!G10*1000</f>
        <v>16.792578405759958</v>
      </c>
      <c r="F24" s="15">
        <f>E24/'4. Capacitati de retea'!$D$22</f>
        <v>20.699423177712273</v>
      </c>
      <c r="G24" s="48">
        <v>0</v>
      </c>
      <c r="H24" s="48">
        <v>0</v>
      </c>
      <c r="I24" s="48">
        <v>0</v>
      </c>
      <c r="J24" s="19"/>
    </row>
    <row r="25" spans="2:10" ht="11.25" customHeight="1" x14ac:dyDescent="0.2">
      <c r="B25" s="46" t="s">
        <v>126</v>
      </c>
      <c r="C25" s="52">
        <f>'3. OPEX 2017'!G9</f>
        <v>822.20713585275723</v>
      </c>
      <c r="D25" s="210">
        <v>0</v>
      </c>
      <c r="E25" s="15">
        <v>0</v>
      </c>
      <c r="F25" s="211">
        <f>C25/'4. Capacitati de retea'!$D$21</f>
        <v>2.2372983288510402E-2</v>
      </c>
      <c r="G25" s="48"/>
      <c r="H25" s="48"/>
      <c r="I25" s="48"/>
      <c r="J25" s="19"/>
    </row>
    <row r="26" spans="2:10" ht="11.25" customHeight="1" x14ac:dyDescent="0.2">
      <c r="B26" s="43" t="s">
        <v>34</v>
      </c>
      <c r="C26" s="53"/>
      <c r="D26" s="29"/>
      <c r="E26" s="29"/>
      <c r="F26" s="5"/>
      <c r="G26" s="5"/>
      <c r="H26" s="5"/>
      <c r="I26" s="5"/>
      <c r="J26" s="8"/>
    </row>
    <row r="27" spans="2:10" ht="11.25" customHeight="1" x14ac:dyDescent="0.2">
      <c r="B27" s="46" t="s">
        <v>281</v>
      </c>
      <c r="C27" s="52">
        <f>'3. OPEX 2017'!G11+'3. OPEX 2017'!G10</f>
        <v>87126.516194001961</v>
      </c>
      <c r="D27" s="50">
        <f>(C27/(C27+C28))*SUM(D7:D25)*C34</f>
        <v>12.974067635800845</v>
      </c>
      <c r="E27" s="50">
        <f>(C27/(C27+C28))*SUM(E7:E25)*C34</f>
        <v>45.196844270978403</v>
      </c>
      <c r="F27" s="51">
        <f>(C27/(C27+C28))*SUM(F7:F25)*$C$34</f>
        <v>64.256075943982751</v>
      </c>
      <c r="G27" s="50">
        <f>SUM(G7:G25)*$C$34</f>
        <v>2.6375742976985039</v>
      </c>
      <c r="H27" s="50">
        <f>SUM(H7:H25)*$C$34</f>
        <v>3.9563614465477559</v>
      </c>
      <c r="I27" s="50">
        <f>SUM(I7:I25)*$C$34</f>
        <v>121.25185580803524</v>
      </c>
    </row>
    <row r="28" spans="2:10" ht="11.25" customHeight="1" x14ac:dyDescent="0.2">
      <c r="B28" s="46" t="s">
        <v>31</v>
      </c>
      <c r="C28" s="52">
        <f>'1. CAPEX'!N77/12</f>
        <v>0</v>
      </c>
      <c r="D28" s="50">
        <f>(C28/(C27+C28))*SUM(D7:D25)*C34</f>
        <v>0</v>
      </c>
      <c r="E28" s="50">
        <f>(C28/(C27+C28))*SUM(E7:E25)*C34</f>
        <v>0</v>
      </c>
      <c r="F28" s="51">
        <f>(C28/(C27+C28))*SUM(F7:F25)*$C$34</f>
        <v>0</v>
      </c>
      <c r="G28" s="50"/>
      <c r="H28" s="50"/>
      <c r="I28" s="50"/>
    </row>
    <row r="29" spans="2:10" ht="11.25" customHeight="1" x14ac:dyDescent="0.2">
      <c r="B29" s="87" t="s">
        <v>280</v>
      </c>
      <c r="C29" s="61"/>
      <c r="D29" s="192">
        <f>SUM(D7:D28)</f>
        <v>62.163459749311215</v>
      </c>
      <c r="E29" s="192">
        <f>SUM(E7:E28)</f>
        <v>216.55445990446518</v>
      </c>
      <c r="F29" s="192">
        <f>SUM(F7:F28)</f>
        <v>307.87414577447566</v>
      </c>
      <c r="G29" s="192">
        <f>SUM(G7:G27)</f>
        <v>12.637574297698503</v>
      </c>
      <c r="H29" s="192">
        <f>SUM(H7:H27)</f>
        <v>18.956361446547756</v>
      </c>
      <c r="I29" s="192">
        <f>SUM(I7:I27)</f>
        <v>580.96158195238411</v>
      </c>
      <c r="J29" s="19"/>
    </row>
    <row r="30" spans="2:10" ht="11.25" customHeight="1" x14ac:dyDescent="0.2">
      <c r="B30" s="54" t="s">
        <v>199</v>
      </c>
      <c r="C30" s="53"/>
      <c r="D30" s="29"/>
      <c r="E30" s="29"/>
      <c r="F30" s="14"/>
      <c r="G30" s="14"/>
      <c r="H30" s="14"/>
      <c r="I30" s="14"/>
      <c r="J30" s="22"/>
    </row>
    <row r="31" spans="2:10" ht="11.25" customHeight="1" x14ac:dyDescent="0.2">
      <c r="B31" s="46" t="s">
        <v>199</v>
      </c>
      <c r="C31" s="52">
        <v>0</v>
      </c>
      <c r="D31" s="13">
        <f>SUM(D6:D28)*0.12/(1-0.12)</f>
        <v>8.4768354203606204</v>
      </c>
      <c r="E31" s="13">
        <f>SUM(E6:E28)*0.12/(1-0.12)</f>
        <v>29.530153623336162</v>
      </c>
      <c r="F31" s="13">
        <f>SUM(F6:F28)*0.12/(1-0.12)</f>
        <v>41.982838060155771</v>
      </c>
      <c r="G31" s="48">
        <v>0</v>
      </c>
      <c r="H31" s="48">
        <v>0</v>
      </c>
      <c r="I31" s="48">
        <v>0</v>
      </c>
      <c r="J31" s="19"/>
    </row>
    <row r="32" spans="2:10" ht="11.25" customHeight="1" thickBot="1" x14ac:dyDescent="0.25">
      <c r="B32" s="102" t="s">
        <v>282</v>
      </c>
      <c r="C32" s="103"/>
      <c r="D32" s="318">
        <f t="shared" ref="D32:I32" si="0">D29+D31</f>
        <v>70.64029516967183</v>
      </c>
      <c r="E32" s="318">
        <f t="shared" si="0"/>
        <v>246.08461352780134</v>
      </c>
      <c r="F32" s="318">
        <f t="shared" si="0"/>
        <v>349.85698383463142</v>
      </c>
      <c r="G32" s="104">
        <f>G29+G31</f>
        <v>12.637574297698503</v>
      </c>
      <c r="H32" s="104">
        <f>H29+H31</f>
        <v>18.956361446547756</v>
      </c>
      <c r="I32" s="104">
        <f t="shared" si="0"/>
        <v>580.96158195238411</v>
      </c>
      <c r="J32" s="23"/>
    </row>
    <row r="33" spans="2:10" ht="11.25" customHeight="1" thickBot="1" x14ac:dyDescent="0.25">
      <c r="D33" s="28"/>
      <c r="E33" s="28"/>
      <c r="F33" s="370"/>
    </row>
    <row r="34" spans="2:10" ht="11.25" customHeight="1" thickBot="1" x14ac:dyDescent="0.25">
      <c r="B34" s="54" t="s">
        <v>283</v>
      </c>
      <c r="C34" s="63">
        <f>(C27+C28)/(SUM(C7:C25))</f>
        <v>0.26375742976985039</v>
      </c>
    </row>
    <row r="35" spans="2:10" ht="11.25" customHeight="1" x14ac:dyDescent="0.2">
      <c r="C35" s="336"/>
      <c r="I35" s="312"/>
      <c r="J35" s="313"/>
    </row>
    <row r="36" spans="2:10" ht="11.25" customHeight="1" x14ac:dyDescent="0.2">
      <c r="C36" s="368"/>
      <c r="I36" s="312"/>
      <c r="J36" s="313"/>
    </row>
    <row r="37" spans="2:10" ht="11.25" customHeight="1" x14ac:dyDescent="0.2">
      <c r="I37" s="312"/>
      <c r="J37" s="313"/>
    </row>
    <row r="38" spans="2:10" ht="11.25" customHeight="1" x14ac:dyDescent="0.2">
      <c r="I38" s="312"/>
      <c r="J38" s="313"/>
    </row>
    <row r="39" spans="2:10" ht="11.25" customHeight="1" x14ac:dyDescent="0.2">
      <c r="H39" s="314"/>
      <c r="I39" s="312"/>
      <c r="J39" s="313"/>
    </row>
    <row r="40" spans="2:10" ht="11.25" customHeight="1" x14ac:dyDescent="0.2">
      <c r="H40" s="314"/>
      <c r="I40" s="312"/>
      <c r="J40" s="313"/>
    </row>
    <row r="41" spans="2:10" ht="11.25" customHeight="1" x14ac:dyDescent="0.2">
      <c r="D41" s="312"/>
      <c r="E41" s="312"/>
      <c r="H41" s="314"/>
      <c r="I41" s="312"/>
      <c r="J41" s="313"/>
    </row>
    <row r="42" spans="2:10" ht="11.25" customHeight="1" x14ac:dyDescent="0.2">
      <c r="D42" s="28"/>
      <c r="H42" s="314"/>
      <c r="I42" s="312"/>
      <c r="J42" s="313"/>
    </row>
    <row r="43" spans="2:10" ht="11.25" customHeight="1" x14ac:dyDescent="0.2">
      <c r="D43" s="28"/>
      <c r="H43" s="314"/>
      <c r="I43" s="312"/>
      <c r="J43" s="313"/>
    </row>
    <row r="44" spans="2:10" ht="11.25" customHeight="1" x14ac:dyDescent="0.2">
      <c r="D44" s="28"/>
      <c r="H44" s="314"/>
      <c r="I44" s="312"/>
      <c r="J44" s="313"/>
    </row>
    <row r="45" spans="2:10" ht="11.25" customHeight="1" x14ac:dyDescent="0.2">
      <c r="D45" s="28"/>
      <c r="H45" s="314"/>
      <c r="I45" s="312"/>
      <c r="J45" s="313"/>
    </row>
    <row r="46" spans="2:10" ht="11.25" customHeight="1" x14ac:dyDescent="0.2">
      <c r="D46" s="28"/>
      <c r="I46" s="312"/>
      <c r="J46" s="313"/>
    </row>
    <row r="47" spans="2:10" ht="11.25" customHeight="1" x14ac:dyDescent="0.2">
      <c r="D47" s="28"/>
      <c r="H47" s="314"/>
      <c r="I47" s="312"/>
      <c r="J47" s="313"/>
    </row>
    <row r="48" spans="2:10" ht="11.25" customHeight="1" x14ac:dyDescent="0.2">
      <c r="D48" s="28"/>
      <c r="H48" s="314"/>
      <c r="I48" s="312"/>
      <c r="J48" s="313"/>
    </row>
    <row r="49" spans="4:10" ht="11.25" customHeight="1" x14ac:dyDescent="0.2">
      <c r="D49" s="28"/>
      <c r="H49" s="314"/>
      <c r="I49" s="312"/>
      <c r="J49" s="313"/>
    </row>
    <row r="50" spans="4:10" ht="11.25" customHeight="1" x14ac:dyDescent="0.2">
      <c r="D50" s="28"/>
      <c r="H50" s="314"/>
      <c r="I50" s="312"/>
      <c r="J50" s="313"/>
    </row>
    <row r="51" spans="4:10" ht="11.25" customHeight="1" x14ac:dyDescent="0.2">
      <c r="D51" s="28"/>
      <c r="I51" s="312"/>
      <c r="J51" s="313"/>
    </row>
    <row r="52" spans="4:10" ht="11.25" customHeight="1" x14ac:dyDescent="0.2">
      <c r="D52" s="28"/>
      <c r="H52" s="314"/>
      <c r="I52" s="312"/>
      <c r="J52" s="313"/>
    </row>
  </sheetData>
  <mergeCells count="2">
    <mergeCell ref="D2:F2"/>
    <mergeCell ref="G2:H2"/>
  </mergeCells>
  <pageMargins left="0.7" right="0.7" top="0.75" bottom="0.75" header="0.3" footer="0.3"/>
  <pageSetup paperSize="504" scale="82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XFC75"/>
  <sheetViews>
    <sheetView zoomScale="110" zoomScaleNormal="110" workbookViewId="0">
      <selection activeCell="C24" sqref="C24"/>
    </sheetView>
  </sheetViews>
  <sheetFormatPr defaultColWidth="9.140625" defaultRowHeight="11.25" customHeight="1" x14ac:dyDescent="0.2"/>
  <cols>
    <col min="1" max="1" width="2.42578125" style="1" customWidth="1"/>
    <col min="2" max="2" width="29.42578125" style="2" customWidth="1"/>
    <col min="3" max="4" width="14.42578125" style="1" customWidth="1"/>
    <col min="5" max="5" width="6.28515625" style="1" bestFit="1" customWidth="1"/>
    <col min="6" max="8" width="14.42578125" style="1" customWidth="1"/>
    <col min="9" max="16384" width="9.140625" style="1"/>
  </cols>
  <sheetData>
    <row r="1" spans="2:16383" ht="11.25" customHeight="1" x14ac:dyDescent="0.25">
      <c r="B1" s="3"/>
      <c r="F1" s="376"/>
    </row>
    <row r="2" spans="2:16383" s="8" customFormat="1" ht="15.75" collapsed="1" thickBot="1" x14ac:dyDescent="0.3">
      <c r="B2" s="43" t="s">
        <v>0</v>
      </c>
      <c r="C2" s="43" t="s">
        <v>26</v>
      </c>
      <c r="D2" s="1"/>
      <c r="E2" s="377"/>
      <c r="F2" s="378"/>
      <c r="G2" s="379"/>
      <c r="H2" s="379"/>
      <c r="I2" s="380"/>
      <c r="J2" s="380"/>
      <c r="K2" s="380"/>
      <c r="L2" s="380"/>
      <c r="M2" s="380"/>
      <c r="N2" s="380"/>
      <c r="O2" s="380"/>
      <c r="P2" s="38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pans="2:16383" ht="15" x14ac:dyDescent="0.25">
      <c r="B3" s="89"/>
      <c r="C3" s="392">
        <v>0.107</v>
      </c>
      <c r="E3" s="376"/>
      <c r="F3" s="381"/>
      <c r="G3" s="382"/>
      <c r="H3" s="380"/>
      <c r="I3" s="379"/>
      <c r="J3" s="379"/>
      <c r="K3" s="379"/>
      <c r="L3" s="379"/>
      <c r="M3" s="379"/>
      <c r="N3" s="380"/>
      <c r="O3" s="380"/>
      <c r="P3" s="380"/>
    </row>
    <row r="4" spans="2:16383" ht="11.25" customHeight="1" x14ac:dyDescent="0.25">
      <c r="B4" s="4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</row>
    <row r="5" spans="2:16383" ht="11.25" customHeight="1" thickBot="1" x14ac:dyDescent="0.3">
      <c r="B5" s="43" t="s">
        <v>297</v>
      </c>
      <c r="C5" s="43" t="str">
        <f>C2</f>
        <v>Valoare</v>
      </c>
      <c r="E5" s="380"/>
      <c r="F5" s="383"/>
      <c r="G5" s="383"/>
      <c r="H5" s="380"/>
      <c r="I5" s="380"/>
      <c r="J5" s="380"/>
      <c r="K5" s="380"/>
      <c r="L5" s="380"/>
      <c r="M5" s="380"/>
      <c r="N5" s="380"/>
      <c r="O5" s="380"/>
      <c r="P5" s="380"/>
    </row>
    <row r="6" spans="2:16383" ht="11.25" customHeight="1" x14ac:dyDescent="0.25">
      <c r="B6" s="89"/>
      <c r="C6" s="90">
        <v>0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</row>
    <row r="7" spans="2:16383" ht="11.25" customHeight="1" thickBot="1" x14ac:dyDescent="0.3">
      <c r="B7" s="91"/>
      <c r="C7" s="92">
        <v>0</v>
      </c>
      <c r="E7" s="380"/>
      <c r="F7" s="383"/>
      <c r="G7" s="383"/>
      <c r="H7" s="380"/>
      <c r="I7" s="380"/>
      <c r="J7" s="380"/>
      <c r="K7" s="380"/>
      <c r="L7" s="380"/>
      <c r="M7" s="380"/>
      <c r="N7" s="380"/>
      <c r="O7" s="380"/>
      <c r="P7" s="380"/>
    </row>
    <row r="8" spans="2:16383" s="2" customFormat="1" ht="11.25" customHeight="1" x14ac:dyDescent="0.25">
      <c r="B8" s="4"/>
      <c r="C8" s="1"/>
      <c r="D8" s="1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</row>
    <row r="9" spans="2:16383" s="2" customFormat="1" ht="10.5" customHeight="1" thickBot="1" x14ac:dyDescent="0.3">
      <c r="B9" s="43" t="s">
        <v>298</v>
      </c>
      <c r="C9" s="43" t="s">
        <v>299</v>
      </c>
      <c r="D9" s="1"/>
      <c r="E9" s="380"/>
      <c r="F9" s="383"/>
      <c r="G9" s="383"/>
      <c r="H9" s="380"/>
      <c r="I9" s="380"/>
      <c r="J9" s="380"/>
      <c r="K9" s="380"/>
      <c r="L9" s="380"/>
      <c r="M9" s="380"/>
      <c r="N9" s="380"/>
      <c r="O9" s="380"/>
      <c r="P9" s="38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</row>
    <row r="10" spans="2:16383" s="2" customFormat="1" ht="10.5" customHeight="1" x14ac:dyDescent="0.25">
      <c r="B10" s="93">
        <v>2008</v>
      </c>
      <c r="C10" s="71">
        <v>3.6827000000000001</v>
      </c>
      <c r="D10" s="1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</row>
    <row r="11" spans="2:16383" s="2" customFormat="1" ht="10.5" customHeight="1" x14ac:dyDescent="0.25">
      <c r="B11" s="94">
        <v>2009</v>
      </c>
      <c r="C11" s="95">
        <v>4.2373000000000003</v>
      </c>
      <c r="D11" s="1"/>
      <c r="E11" s="380"/>
      <c r="F11" s="383"/>
      <c r="G11" s="383"/>
      <c r="H11" s="380"/>
      <c r="I11" s="380"/>
      <c r="J11" s="380"/>
      <c r="K11" s="380"/>
      <c r="L11" s="380"/>
      <c r="M11" s="380"/>
      <c r="N11" s="380"/>
      <c r="O11" s="380"/>
      <c r="P11" s="38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</row>
    <row r="12" spans="2:16383" s="2" customFormat="1" ht="10.5" customHeight="1" x14ac:dyDescent="0.25">
      <c r="B12" s="94">
        <v>2010</v>
      </c>
      <c r="C12" s="95">
        <v>4.2099000000000002</v>
      </c>
      <c r="D12" s="1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</row>
    <row r="13" spans="2:16383" s="2" customFormat="1" ht="11.25" customHeight="1" x14ac:dyDescent="0.25">
      <c r="B13" s="94">
        <v>2011</v>
      </c>
      <c r="C13" s="95">
        <v>4.2378999999999998</v>
      </c>
      <c r="D13" s="1"/>
      <c r="E13" s="380"/>
      <c r="F13" s="383"/>
      <c r="G13" s="383"/>
      <c r="H13" s="380"/>
      <c r="I13" s="380"/>
      <c r="J13" s="380"/>
      <c r="K13" s="380"/>
      <c r="L13" s="380"/>
      <c r="M13" s="380"/>
      <c r="N13" s="380"/>
      <c r="O13" s="380"/>
      <c r="P13" s="38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</row>
    <row r="14" spans="2:16383" s="2" customFormat="1" ht="11.25" customHeight="1" x14ac:dyDescent="0.25">
      <c r="B14" s="94">
        <v>2012</v>
      </c>
      <c r="C14" s="95">
        <v>4.4560000000000004</v>
      </c>
      <c r="D14" s="1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</row>
    <row r="15" spans="2:16383" s="2" customFormat="1" ht="11.25" customHeight="1" thickBot="1" x14ac:dyDescent="0.3">
      <c r="B15" s="94">
        <v>2013</v>
      </c>
      <c r="C15" s="198">
        <v>4.4189999999999996</v>
      </c>
      <c r="D15" s="1"/>
      <c r="E15" s="380"/>
      <c r="F15" s="383"/>
      <c r="G15" s="383"/>
      <c r="H15" s="380"/>
      <c r="I15" s="380"/>
      <c r="J15" s="380"/>
      <c r="K15" s="380"/>
      <c r="L15" s="380"/>
      <c r="M15" s="380"/>
      <c r="N15" s="380"/>
      <c r="O15" s="380"/>
      <c r="P15" s="38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</row>
    <row r="16" spans="2:16383" ht="11.25" customHeight="1" x14ac:dyDescent="0.2">
      <c r="B16" s="93">
        <v>2014</v>
      </c>
      <c r="C16" s="71">
        <v>4.4446000000000003</v>
      </c>
    </row>
    <row r="17" spans="2:16383" ht="11.25" customHeight="1" x14ac:dyDescent="0.2">
      <c r="B17" s="94">
        <v>2015</v>
      </c>
      <c r="C17" s="95">
        <v>4.4450000000000003</v>
      </c>
    </row>
    <row r="18" spans="2:16383" ht="11.25" customHeight="1" x14ac:dyDescent="0.2">
      <c r="B18" s="94">
        <v>2016</v>
      </c>
      <c r="C18" s="95">
        <v>4.4908000000000001</v>
      </c>
    </row>
    <row r="19" spans="2:16383" ht="11.25" customHeight="1" x14ac:dyDescent="0.2">
      <c r="B19" s="94">
        <v>2017</v>
      </c>
      <c r="C19" s="95">
        <v>4.5681000000000003</v>
      </c>
    </row>
    <row r="20" spans="2:16383" s="2" customFormat="1" ht="11.25" customHeight="1" x14ac:dyDescent="0.2">
      <c r="B20" s="11"/>
      <c r="D20" s="1"/>
      <c r="E20" s="1"/>
      <c r="F20" s="311"/>
      <c r="G20" s="3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</row>
    <row r="21" spans="2:16383" ht="11.25" customHeight="1" thickBot="1" x14ac:dyDescent="0.25">
      <c r="B21" s="43" t="s">
        <v>300</v>
      </c>
      <c r="C21" s="43"/>
    </row>
    <row r="22" spans="2:16383" ht="11.25" customHeight="1" x14ac:dyDescent="0.2">
      <c r="B22" s="96" t="s">
        <v>301</v>
      </c>
      <c r="C22" s="393">
        <v>40</v>
      </c>
      <c r="F22" s="311"/>
      <c r="G22" s="311"/>
    </row>
    <row r="23" spans="2:16383" ht="11.25" customHeight="1" x14ac:dyDescent="0.2">
      <c r="B23" s="97" t="s">
        <v>302</v>
      </c>
      <c r="C23" s="394">
        <v>40</v>
      </c>
    </row>
    <row r="24" spans="2:16383" ht="11.25" customHeight="1" thickBot="1" x14ac:dyDescent="0.25">
      <c r="B24" s="98" t="s">
        <v>209</v>
      </c>
      <c r="C24" s="99">
        <v>20</v>
      </c>
      <c r="F24" s="310"/>
      <c r="G24" s="310"/>
    </row>
    <row r="75" spans="2:2" ht="11.25" hidden="1" customHeight="1" thickBot="1" x14ac:dyDescent="0.25">
      <c r="B75" s="41" t="e">
        <f>Sumar!#REF!</f>
        <v>#REF!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BB94"/>
  <sheetViews>
    <sheetView zoomScaleNormal="10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P17" sqref="P17"/>
    </sheetView>
  </sheetViews>
  <sheetFormatPr defaultColWidth="9.140625" defaultRowHeight="15" outlineLevelRow="1" x14ac:dyDescent="0.25"/>
  <cols>
    <col min="1" max="1" width="10.140625" style="302" customWidth="1"/>
    <col min="2" max="2" width="44" style="31" customWidth="1"/>
    <col min="3" max="3" width="12.42578125" style="235" customWidth="1"/>
    <col min="4" max="4" width="13.5703125" style="235" bestFit="1" customWidth="1"/>
    <col min="5" max="5" width="14.5703125" style="235" bestFit="1" customWidth="1"/>
    <col min="6" max="6" width="13.28515625" style="235" customWidth="1"/>
    <col min="7" max="7" width="14.7109375" style="242" customWidth="1"/>
    <col min="8" max="8" width="13" style="242" bestFit="1" customWidth="1"/>
    <col min="9" max="9" width="13.5703125" style="242" bestFit="1" customWidth="1"/>
    <col min="10" max="12" width="13" style="242" bestFit="1" customWidth="1"/>
    <col min="13" max="13" width="16.28515625" style="31" customWidth="1"/>
    <col min="14" max="14" width="18.7109375" style="31" customWidth="1"/>
    <col min="15" max="15" width="13.5703125" style="31" customWidth="1"/>
    <col min="16" max="16" width="13" style="31" customWidth="1"/>
    <col min="17" max="17" width="16.28515625" style="31" customWidth="1"/>
    <col min="18" max="23" width="12" style="31" bestFit="1" customWidth="1"/>
    <col min="24" max="25" width="12.5703125" style="31" bestFit="1" customWidth="1"/>
    <col min="26" max="30" width="12" style="31" bestFit="1" customWidth="1"/>
    <col min="31" max="34" width="12.5703125" style="31" bestFit="1" customWidth="1"/>
    <col min="35" max="43" width="14.140625" style="31" bestFit="1" customWidth="1"/>
    <col min="44" max="44" width="18.140625" style="31" bestFit="1" customWidth="1"/>
    <col min="45" max="45" width="17.5703125" style="31" bestFit="1" customWidth="1"/>
    <col min="46" max="46" width="16.140625" style="31" bestFit="1" customWidth="1"/>
    <col min="47" max="52" width="14" style="31" bestFit="1" customWidth="1"/>
    <col min="53" max="53" width="14.5703125" style="31" bestFit="1" customWidth="1"/>
    <col min="54" max="54" width="13.5703125" style="31" bestFit="1" customWidth="1"/>
    <col min="55" max="16384" width="9.140625" style="31"/>
  </cols>
  <sheetData>
    <row r="1" spans="1:54" s="527" customFormat="1" ht="10.5" customHeight="1" x14ac:dyDescent="0.25">
      <c r="A1" s="523"/>
      <c r="B1" s="534" t="s">
        <v>274</v>
      </c>
      <c r="C1" s="524">
        <f>1/'Ipoteze de lucru'!C10</f>
        <v>0.27153990278871482</v>
      </c>
      <c r="D1" s="524">
        <f>1/'Ipoteze de lucru'!C11</f>
        <v>0.23599933920185021</v>
      </c>
      <c r="E1" s="524">
        <f>1/'Ipoteze de lucru'!C12</f>
        <v>0.2375353333808404</v>
      </c>
      <c r="F1" s="524">
        <f>1/'Ipoteze de lucru'!C13</f>
        <v>0.23596592652021051</v>
      </c>
      <c r="G1" s="524">
        <f>1/'Ipoteze de lucru'!C14</f>
        <v>0.22441651705565527</v>
      </c>
      <c r="H1" s="524">
        <f>1/'Ipoteze de lucru'!C15</f>
        <v>0.22629554197782306</v>
      </c>
      <c r="I1" s="524">
        <f>1/'Ipoteze de lucru'!C16</f>
        <v>0.22499212527561532</v>
      </c>
      <c r="J1" s="525">
        <f>1/'Ipoteze de lucru'!C17</f>
        <v>0.22497187851518557</v>
      </c>
      <c r="K1" s="525">
        <f>1/'Ipoteze de lucru'!C18</f>
        <v>0.22267747394673554</v>
      </c>
      <c r="L1" s="525">
        <f>1/'Ipoteze de lucru'!C19</f>
        <v>0.21890939340207086</v>
      </c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  <c r="BB1" s="526"/>
    </row>
    <row r="2" spans="1:54" s="264" customFormat="1" x14ac:dyDescent="0.25">
      <c r="A2" s="303"/>
      <c r="B2" s="262" t="s">
        <v>303</v>
      </c>
      <c r="C2" s="263" t="str">
        <f>IF($B$140="ROMANA","Final 2008","end 2008")</f>
        <v>end 2008</v>
      </c>
      <c r="D2" s="263" t="str">
        <f>IF($B$140="ROMANA","Final 2009","end 2009")</f>
        <v>end 2009</v>
      </c>
      <c r="E2" s="263" t="str">
        <f>IF($B$140="ROMANA","Final 2010","end 2010")</f>
        <v>end 2010</v>
      </c>
      <c r="F2" s="263" t="str">
        <f>IF($B$140="ROMANA","Final 2011","end 2011")</f>
        <v>end 2011</v>
      </c>
      <c r="G2" s="263" t="str">
        <f>IF($B$140="ROMANA","Final 2012","end 2012")</f>
        <v>end 2012</v>
      </c>
      <c r="H2" s="263" t="s">
        <v>119</v>
      </c>
      <c r="I2" s="263" t="s">
        <v>202</v>
      </c>
      <c r="J2" s="263" t="s">
        <v>203</v>
      </c>
      <c r="K2" s="263" t="s">
        <v>204</v>
      </c>
      <c r="L2" s="263" t="s">
        <v>205</v>
      </c>
      <c r="M2" s="265" t="s">
        <v>252</v>
      </c>
      <c r="N2" s="265" t="s">
        <v>320</v>
      </c>
      <c r="O2" s="265"/>
      <c r="P2" s="265"/>
    </row>
    <row r="3" spans="1:54" x14ac:dyDescent="0.25">
      <c r="B3" s="32" t="s">
        <v>304</v>
      </c>
      <c r="C3" s="236">
        <f t="shared" ref="C3:G3" si="0">C7+C10+C13+C15+C16+C19+C20+C21</f>
        <v>4671177</v>
      </c>
      <c r="D3" s="236">
        <f t="shared" si="0"/>
        <v>2339667</v>
      </c>
      <c r="E3" s="236">
        <f t="shared" si="0"/>
        <v>28951199</v>
      </c>
      <c r="F3" s="236">
        <f t="shared" si="0"/>
        <v>38920397.279462285</v>
      </c>
      <c r="G3" s="236">
        <f t="shared" si="0"/>
        <v>46365970</v>
      </c>
      <c r="H3" s="236">
        <f>H7+H10+H13+H15+H16+H19+H20+H21</f>
        <v>3537598</v>
      </c>
      <c r="I3" s="236">
        <f t="shared" ref="I3:K3" si="1">I7+I10+I13+I15+I16+I19+I20+I21</f>
        <v>502647.32679999998</v>
      </c>
      <c r="J3" s="236">
        <f t="shared" si="1"/>
        <v>835615.755</v>
      </c>
      <c r="K3" s="236">
        <f t="shared" si="1"/>
        <v>454599.71543841984</v>
      </c>
      <c r="L3" s="236">
        <f>L7+L10+L13+L15+L16+L19+L20+L21</f>
        <v>11230394.2543</v>
      </c>
      <c r="M3" s="397">
        <f>SUMPRODUCT(C3:L3,$C$1:$L$1)</f>
        <v>31947972.925886698</v>
      </c>
      <c r="N3" s="387">
        <f>N7+N10+N13+N15+N16+N19+N20+N21</f>
        <v>3478436.1004890054</v>
      </c>
      <c r="O3" s="398"/>
      <c r="P3"/>
    </row>
    <row r="4" spans="1:54" x14ac:dyDescent="0.25">
      <c r="B4" s="32" t="s">
        <v>305</v>
      </c>
      <c r="C4" s="236">
        <f>C3</f>
        <v>4671177</v>
      </c>
      <c r="D4" s="236">
        <f>C4+D3</f>
        <v>7010844</v>
      </c>
      <c r="E4" s="236">
        <f t="shared" ref="E4:G4" si="2">D4+E3</f>
        <v>35962043</v>
      </c>
      <c r="F4" s="236">
        <f t="shared" si="2"/>
        <v>74882440.279462278</v>
      </c>
      <c r="G4" s="236">
        <f t="shared" si="2"/>
        <v>121248410.27946228</v>
      </c>
      <c r="H4" s="236">
        <f>G4+H3</f>
        <v>124786008.27946228</v>
      </c>
      <c r="I4" s="236">
        <f t="shared" ref="I4:L4" si="3">H4+I3</f>
        <v>125288655.60626228</v>
      </c>
      <c r="J4" s="236">
        <f t="shared" si="3"/>
        <v>126124271.36126228</v>
      </c>
      <c r="K4" s="236">
        <f t="shared" si="3"/>
        <v>126578871.0767007</v>
      </c>
      <c r="L4" s="236">
        <f t="shared" si="3"/>
        <v>137809265.33100072</v>
      </c>
      <c r="M4" s="398"/>
      <c r="N4" s="387"/>
      <c r="O4" s="187"/>
      <c r="P4" s="365"/>
    </row>
    <row r="5" spans="1:54" x14ac:dyDescent="0.25">
      <c r="B5" s="32" t="s">
        <v>306</v>
      </c>
      <c r="C5" s="236">
        <f>C3-C58</f>
        <v>4554397.5750000002</v>
      </c>
      <c r="D5" s="236">
        <f>C5+D3-D58</f>
        <v>6718793.4750000006</v>
      </c>
      <c r="E5" s="236">
        <f>D5+E3-E58</f>
        <v>34770941.399999999</v>
      </c>
      <c r="F5" s="236">
        <f>E5+F3-F58</f>
        <v>71819277.672475725</v>
      </c>
      <c r="G5" s="236">
        <f>F5+G3-G58</f>
        <v>115151816.41548917</v>
      </c>
      <c r="H5" s="236">
        <f>G5+H3-H58</f>
        <v>115566953.20850261</v>
      </c>
      <c r="I5" s="236">
        <f t="shared" ref="I5:L5" si="4">H5+I3-I58</f>
        <v>112934514.27014606</v>
      </c>
      <c r="J5" s="236">
        <f t="shared" si="4"/>
        <v>110614115.3161145</v>
      </c>
      <c r="K5" s="236">
        <f t="shared" si="4"/>
        <v>107901315.62963541</v>
      </c>
      <c r="L5" s="236">
        <f t="shared" si="4"/>
        <v>115683532.62566039</v>
      </c>
      <c r="M5" s="398"/>
      <c r="N5" s="387"/>
      <c r="O5" s="208"/>
      <c r="P5"/>
    </row>
    <row r="6" spans="1:54" x14ac:dyDescent="0.25">
      <c r="B6" s="88" t="s">
        <v>32</v>
      </c>
      <c r="C6" s="236">
        <f t="shared" ref="C6:G6" si="5">C7+C13+C15+C19+C20+C21</f>
        <v>4671177</v>
      </c>
      <c r="D6" s="236">
        <f t="shared" si="5"/>
        <v>2159102.9350999999</v>
      </c>
      <c r="E6" s="236">
        <f t="shared" si="5"/>
        <v>26701647.354800001</v>
      </c>
      <c r="F6" s="236">
        <f t="shared" si="5"/>
        <v>31242679.110137846</v>
      </c>
      <c r="G6" s="236">
        <f t="shared" si="5"/>
        <v>41769726.311999999</v>
      </c>
      <c r="H6" s="236">
        <f>H7+H13+H15+H19+H20+H21</f>
        <v>-406443.46099999954</v>
      </c>
      <c r="I6" s="236">
        <f t="shared" ref="I6:L6" si="6">I7+I13+I15+I19+I20+I21</f>
        <v>458388</v>
      </c>
      <c r="J6" s="236">
        <f t="shared" si="6"/>
        <v>707782</v>
      </c>
      <c r="K6" s="236">
        <f t="shared" si="6"/>
        <v>370054</v>
      </c>
      <c r="L6" s="236">
        <f t="shared" si="6"/>
        <v>10520041</v>
      </c>
      <c r="M6" s="398"/>
      <c r="N6" s="387"/>
      <c r="O6" s="208"/>
      <c r="P6" s="367"/>
      <c r="Q6" s="366"/>
    </row>
    <row r="7" spans="1:54" s="264" customFormat="1" ht="19.7" customHeight="1" x14ac:dyDescent="0.25">
      <c r="A7" s="304" t="s">
        <v>206</v>
      </c>
      <c r="B7" s="266" t="s">
        <v>307</v>
      </c>
      <c r="C7" s="267">
        <f>'CAPEX 2013'!C5+C8+C9-C10</f>
        <v>3684844</v>
      </c>
      <c r="D7" s="267">
        <f>'CAPEX 2013'!D5+D8+D9-D10</f>
        <v>1618429.2895</v>
      </c>
      <c r="E7" s="267">
        <f>'CAPEX 2013'!E5+E8+E9-E10</f>
        <v>22474788.244100001</v>
      </c>
      <c r="F7" s="267">
        <f>'CAPEX 2013'!F5+F8+F9-F10</f>
        <v>30886796.706900001</v>
      </c>
      <c r="G7" s="267">
        <f>'CAPEX 2013'!G5+G8+G9-G10</f>
        <v>40397617.535999998</v>
      </c>
      <c r="H7" s="267">
        <f>'CAPEX 2013'!H5+H8+H9-H10</f>
        <v>-1120661.1449999996</v>
      </c>
      <c r="I7" s="408">
        <v>322333</v>
      </c>
      <c r="J7" s="408">
        <v>599300</v>
      </c>
      <c r="K7" s="408">
        <v>323666</v>
      </c>
      <c r="L7" s="410">
        <v>8323455</v>
      </c>
      <c r="M7" s="398">
        <f t="shared" ref="M7:M21" si="7">SUMPRODUCT(C7:L7,$C$1:$L$1)</f>
        <v>24923113.994276445</v>
      </c>
      <c r="N7" s="387">
        <f>-PMT('Ipoteze de lucru'!$C$3,'Ipoteze de lucru'!$C$22,'1. CAPEX'!M7)</f>
        <v>2713287.9865511456</v>
      </c>
      <c r="O7" s="268"/>
    </row>
    <row r="8" spans="1:54" ht="15" customHeight="1" x14ac:dyDescent="0.25">
      <c r="A8" s="305" t="s">
        <v>207</v>
      </c>
      <c r="B8" s="38" t="s">
        <v>308</v>
      </c>
      <c r="C8" s="238">
        <f>'CAPEX 2013'!C6</f>
        <v>203644</v>
      </c>
      <c r="D8" s="238">
        <f>'CAPEX 2013'!D6</f>
        <v>323507</v>
      </c>
      <c r="E8" s="238">
        <f>'CAPEX 2013'!E6</f>
        <v>507003</v>
      </c>
      <c r="F8" s="238">
        <f>'CAPEX 2013'!F6</f>
        <v>2005600</v>
      </c>
      <c r="G8" s="238">
        <f>'CAPEX 2013'!G6-G14</f>
        <v>1742085</v>
      </c>
      <c r="H8" s="238">
        <f>'CAPEX 2013'!H6-H14</f>
        <v>733445</v>
      </c>
      <c r="I8" s="404">
        <v>388122</v>
      </c>
      <c r="J8" s="404">
        <v>158964</v>
      </c>
      <c r="K8" s="404">
        <v>388555</v>
      </c>
      <c r="L8" s="404">
        <v>555473</v>
      </c>
      <c r="M8" s="398">
        <f t="shared" si="7"/>
        <v>1613464.8076636367</v>
      </c>
      <c r="N8" s="387">
        <f>-PMT('Ipoteze de lucru'!$C$3,'Ipoteze de lucru'!$C$22,'1. CAPEX'!M8)</f>
        <v>175651.99438409481</v>
      </c>
      <c r="O8" s="208"/>
    </row>
    <row r="9" spans="1:54" ht="15" customHeight="1" x14ac:dyDescent="0.25">
      <c r="B9" s="38" t="s">
        <v>309</v>
      </c>
      <c r="C9" s="238">
        <v>0</v>
      </c>
      <c r="D9" s="238">
        <v>0</v>
      </c>
      <c r="E9" s="238">
        <f>'CAPEX 2013'!E7</f>
        <v>389207</v>
      </c>
      <c r="F9" s="238">
        <f>'CAPEX 2013'!F7</f>
        <v>302500</v>
      </c>
      <c r="G9" s="238">
        <f>'CAPEX 2013'!G7</f>
        <v>43004</v>
      </c>
      <c r="H9" s="238">
        <f>'CAPEX 2013'!H7</f>
        <v>0</v>
      </c>
      <c r="I9" s="238"/>
      <c r="J9" s="238"/>
      <c r="K9" s="238"/>
      <c r="L9" s="238">
        <v>0</v>
      </c>
      <c r="M9" s="398">
        <f t="shared" si="7"/>
        <v>173480.91517098181</v>
      </c>
      <c r="N9" s="387">
        <f>-PMT('Ipoteze de lucru'!$C$3,'Ipoteze de lucru'!$C$22,'1. CAPEX'!M9)</f>
        <v>18886.230795133375</v>
      </c>
      <c r="O9" s="208"/>
    </row>
    <row r="10" spans="1:54" s="268" customFormat="1" ht="15" customHeight="1" x14ac:dyDescent="0.25">
      <c r="A10" s="306"/>
      <c r="B10" s="291" t="s">
        <v>38</v>
      </c>
      <c r="C10" s="267">
        <v>0</v>
      </c>
      <c r="D10" s="267">
        <f>'Capacitati 2017'!E109*'Ipoteze de lucru'!C11</f>
        <v>211377.71050000002</v>
      </c>
      <c r="E10" s="267">
        <f>'Capacitati 2017'!H109*'Ipoteze de lucru'!C12</f>
        <v>1972510.7559</v>
      </c>
      <c r="F10" s="267">
        <f>'Capacitati 2017'!K109*'Ipoteze de lucru'!C13</f>
        <v>4928207.2930999994</v>
      </c>
      <c r="G10" s="267">
        <f>'Capacitati 2017'!N109*'Ipoteze de lucru'!C14</f>
        <v>3889838.4640000002</v>
      </c>
      <c r="H10" s="267">
        <f>('Capacitati 2017'!Q109+'Capacitati 2017'!N109)*'Ipoteze de lucru'!C15</f>
        <v>3919454.1449999996</v>
      </c>
      <c r="I10" s="267">
        <f>('Capacitati 2017'!T109)*'Ipoteze de lucru'!C16</f>
        <v>28809.897200000003</v>
      </c>
      <c r="J10" s="267">
        <f>'Capacitati 2017'!W109*'Ipoteze de lucru'!C17</f>
        <v>88744.425000000003</v>
      </c>
      <c r="K10" s="267">
        <f>'Capacitati 2017'!Z109*'Ipoteze de lucru'!C18</f>
        <v>48280.590799999998</v>
      </c>
      <c r="L10" s="267">
        <f>'Capacitati 2017'!AC109*'Ipoteze de lucru'!C19</f>
        <v>638798.53590000002</v>
      </c>
      <c r="M10" s="398">
        <f t="shared" si="7"/>
        <v>3618251</v>
      </c>
      <c r="N10" s="387">
        <f>-PMT('Ipoteze de lucru'!$C$3,'Ipoteze de lucru'!$C$22,'1. CAPEX'!M10)</f>
        <v>393905.71229908156</v>
      </c>
      <c r="O10" s="292"/>
    </row>
    <row r="11" spans="1:54" ht="15" customHeight="1" x14ac:dyDescent="0.25">
      <c r="B11" s="105" t="s">
        <v>36</v>
      </c>
      <c r="C11" s="238">
        <v>0</v>
      </c>
      <c r="D11" s="238">
        <f>'Capacitati 2017'!C109*'Ipoteze de lucru'!C11</f>
        <v>179161.51860000001</v>
      </c>
      <c r="E11" s="238">
        <f>'Capacitati 2017'!F109*'Ipoteze de lucru'!C12</f>
        <v>1186013.0280000002</v>
      </c>
      <c r="F11" s="238">
        <f>'Capacitati 2017'!I109*'Ipoteze de lucru'!C13</f>
        <v>3566904.8171999999</v>
      </c>
      <c r="G11" s="238">
        <f>'Capacitati 2017'!L109*'Ipoteze de lucru'!C14</f>
        <v>1835644.7440000002</v>
      </c>
      <c r="H11" s="238">
        <f>'Capacitati 2017'!O109*'Ipoteze de lucru'!C15</f>
        <v>35983.916999999994</v>
      </c>
      <c r="I11" s="238">
        <f>'Capacitati 2017'!R109*'Ipoteze de lucru'!C16</f>
        <v>17565.0592</v>
      </c>
      <c r="J11" s="238">
        <f>'Capacitati 2017'!U109*'Ipoteze de lucru'!C17</f>
        <v>55669.18</v>
      </c>
      <c r="K11" s="238">
        <f>'Capacitati 2017'!X109*'Ipoteze de lucru'!C18</f>
        <v>32845.711199999998</v>
      </c>
      <c r="L11" s="238">
        <f>'Capacitati 2017'!AA109*'Ipoteze de lucru'!C19</f>
        <v>424842.4362</v>
      </c>
      <c r="M11" s="398">
        <f t="shared" si="7"/>
        <v>1702554.0000000002</v>
      </c>
      <c r="N11" s="387">
        <f>-PMT('Ipoteze de lucru'!$C$3,'Ipoteze de lucru'!$C$22,'1. CAPEX'!M11)</f>
        <v>185350.80791731985</v>
      </c>
      <c r="O11" s="208"/>
    </row>
    <row r="12" spans="1:54" ht="15" customHeight="1" x14ac:dyDescent="0.25">
      <c r="B12" s="105" t="s">
        <v>37</v>
      </c>
      <c r="C12" s="238">
        <v>0</v>
      </c>
      <c r="D12" s="238">
        <f>'Capacitati 2017'!D109*'Ipoteze de lucru'!C11</f>
        <v>32216.191900000002</v>
      </c>
      <c r="E12" s="238">
        <f>'Capacitati 2017'!G109*'Ipoteze de lucru'!C12</f>
        <v>786497.72790000006</v>
      </c>
      <c r="F12" s="238">
        <f>'Capacitati 2017'!J109*'Ipoteze de lucru'!C13</f>
        <v>1361302.4759</v>
      </c>
      <c r="G12" s="238">
        <f>'Capacitati 2017'!M109*'Ipoteze de lucru'!C14</f>
        <v>2054193.7200000002</v>
      </c>
      <c r="H12" s="238">
        <f>'Capacitati 2017'!P109*'Ipoteze de lucru'!C15</f>
        <v>25930.691999999999</v>
      </c>
      <c r="I12" s="238">
        <f>'Capacitati 2017'!S109*'Ipoteze de lucru'!C16</f>
        <v>11244.838000000002</v>
      </c>
      <c r="J12" s="238">
        <f>'Capacitati 2017'!V109*'Ipoteze de lucru'!C17</f>
        <v>33075.245000000003</v>
      </c>
      <c r="K12" s="238">
        <f>'Capacitati 2017'!Y109*'Ipoteze de lucru'!C18</f>
        <v>15434.8796</v>
      </c>
      <c r="L12" s="238">
        <f>'Capacitati 2017'!AB109*'Ipoteze de lucru'!C19</f>
        <v>213956.09970000002</v>
      </c>
      <c r="M12" s="398">
        <f t="shared" si="7"/>
        <v>1042753</v>
      </c>
      <c r="N12" s="387">
        <f>-PMT('Ipoteze de lucru'!$C$3,'Ipoteze de lucru'!$C$22,'1. CAPEX'!M12)</f>
        <v>113520.69362158793</v>
      </c>
      <c r="O12" s="208"/>
    </row>
    <row r="13" spans="1:54" s="264" customFormat="1" x14ac:dyDescent="0.25">
      <c r="A13" s="304" t="s">
        <v>58</v>
      </c>
      <c r="B13" s="266" t="s">
        <v>310</v>
      </c>
      <c r="C13" s="267">
        <v>0</v>
      </c>
      <c r="D13" s="267">
        <v>0</v>
      </c>
      <c r="E13" s="267">
        <v>0</v>
      </c>
      <c r="F13" s="267">
        <v>0</v>
      </c>
      <c r="G13" s="267">
        <f>'CAPEX 2013'!G9+G14</f>
        <v>384775</v>
      </c>
      <c r="H13" s="267">
        <f>'CAPEX 2013'!H9+H14</f>
        <v>2405</v>
      </c>
      <c r="I13" s="408">
        <v>22500</v>
      </c>
      <c r="J13" s="408">
        <v>7505</v>
      </c>
      <c r="K13" s="267"/>
      <c r="L13" s="408">
        <v>6272</v>
      </c>
      <c r="M13" s="398">
        <f t="shared" si="7"/>
        <v>95017.842610922002</v>
      </c>
      <c r="N13" s="387">
        <f>-PMT('Ipoteze de lucru'!$C$3,'Ipoteze de lucru'!$C$22,'1. CAPEX'!M13)</f>
        <v>10344.24393851539</v>
      </c>
      <c r="O13" s="268"/>
    </row>
    <row r="14" spans="1:54" x14ac:dyDescent="0.25">
      <c r="A14" s="305" t="s">
        <v>207</v>
      </c>
      <c r="B14" s="38" t="s">
        <v>311</v>
      </c>
      <c r="C14" s="238">
        <v>0</v>
      </c>
      <c r="D14" s="238">
        <v>0</v>
      </c>
      <c r="E14" s="238">
        <v>0</v>
      </c>
      <c r="F14" s="238">
        <v>0</v>
      </c>
      <c r="G14" s="404">
        <v>311526</v>
      </c>
      <c r="H14" s="404">
        <v>0</v>
      </c>
      <c r="I14" s="404">
        <v>16892</v>
      </c>
      <c r="J14" s="404">
        <v>2843</v>
      </c>
      <c r="K14" s="404"/>
      <c r="L14" s="404">
        <v>6822</v>
      </c>
      <c r="M14" s="398">
        <f t="shared" si="7"/>
        <v>75845.141804843355</v>
      </c>
      <c r="N14" s="387">
        <f>-PMT('Ipoteze de lucru'!$C$3,'Ipoteze de lucru'!$C$22,'1. CAPEX'!M14)</f>
        <v>8256.9823395507028</v>
      </c>
      <c r="O14" s="208"/>
    </row>
    <row r="15" spans="1:54" s="264" customFormat="1" ht="18.600000000000001" customHeight="1" x14ac:dyDescent="0.25">
      <c r="A15" s="304" t="s">
        <v>208</v>
      </c>
      <c r="B15" s="266" t="s">
        <v>208</v>
      </c>
      <c r="C15" s="267">
        <f>'CAPEX 2013'!C10-C16</f>
        <v>986333</v>
      </c>
      <c r="D15" s="267">
        <f>'CAPEX 2013'!D10-D16</f>
        <v>540673.64560000005</v>
      </c>
      <c r="E15" s="267">
        <f>'CAPEX 2013'!E10-E16</f>
        <v>4226859.1107000001</v>
      </c>
      <c r="F15" s="267">
        <f>'CAPEX 2013'!F10-F16-F84-F85</f>
        <v>355882.40323784668</v>
      </c>
      <c r="G15" s="267">
        <f>'CAPEX 2013'!G10-G16</f>
        <v>898493.77599999995</v>
      </c>
      <c r="H15" s="267">
        <f>'CAPEX 2013'!H10-H16</f>
        <v>235012.68400000001</v>
      </c>
      <c r="I15" s="408">
        <v>111200</v>
      </c>
      <c r="J15" s="408">
        <v>99455</v>
      </c>
      <c r="K15" s="408">
        <v>45600</v>
      </c>
      <c r="L15" s="409">
        <v>1888005</v>
      </c>
      <c r="M15" s="398">
        <f t="shared" si="7"/>
        <v>2209100.8901629527</v>
      </c>
      <c r="N15" s="387">
        <f>-PMT('Ipoteze de lucru'!$C$3,'Ipoteze de lucru'!$C$22,'1. CAPEX'!M15)</f>
        <v>240496.70950969763</v>
      </c>
      <c r="O15" s="268"/>
    </row>
    <row r="16" spans="1:54" s="268" customFormat="1" x14ac:dyDescent="0.25">
      <c r="A16" s="306"/>
      <c r="B16" s="293" t="s">
        <v>52</v>
      </c>
      <c r="C16" s="267">
        <v>0</v>
      </c>
      <c r="D16" s="267">
        <f>('Capacitati 2017'!E77-'Capacitati 2017'!E109)*'Ipoteze de lucru'!C11</f>
        <v>-30813.645600000003</v>
      </c>
      <c r="E16" s="267">
        <f>('Capacitati 2017'!H77-'Capacitati 2017'!H109)*'Ipoteze de lucru'!C12</f>
        <v>277040.88930000004</v>
      </c>
      <c r="F16" s="267">
        <f>('Capacitati 2017'!K77-'Capacitati 2017'!K109)*'Ipoteze de lucru'!C13</f>
        <v>2749510.8762244345</v>
      </c>
      <c r="G16" s="267">
        <f>('Capacitati 2017'!N77-'Capacitati 2017'!N109)*'Ipoteze de lucru'!C14</f>
        <v>706405.22400000005</v>
      </c>
      <c r="H16" s="267">
        <f>('Capacitati 2017'!Q77-'Capacitati 2017'!Q109)*'Ipoteze de lucru'!C15+('Capacitati 2017'!N77-'Capacitati 2017'!N109)*'Ipoteze de lucru'!C14-G16</f>
        <v>24587.315999999992</v>
      </c>
      <c r="I16" s="267">
        <f>('Capacitati 2017'!T77-'Capacitati 2017'!T109)*'Ipoteze de lucru'!C16</f>
        <v>15449.429600000001</v>
      </c>
      <c r="J16" s="267">
        <f>('Capacitati 2017'!W77-'Capacitati 2017'!W109)*'Ipoteze de lucru'!C17</f>
        <v>39089.33</v>
      </c>
      <c r="K16" s="267">
        <f>('Capacitati 2017'!Z77-'Capacitati 2017'!Z109)*'Ipoteze de lucru'!C18</f>
        <v>36265.124638419817</v>
      </c>
      <c r="L16" s="267">
        <f>('Capacitati 2017'!AC77-'Capacitati 2017'!AC109)*'Ipoteze de lucru'!C19</f>
        <v>71554.718399999998</v>
      </c>
      <c r="M16" s="398">
        <f t="shared" si="7"/>
        <v>907428.30773254135</v>
      </c>
      <c r="N16" s="387">
        <f>-PMT('Ipoteze de lucru'!$C$3,'Ipoteze de lucru'!$C$22,'1. CAPEX'!M16)</f>
        <v>98788.390832404068</v>
      </c>
    </row>
    <row r="17" spans="1:24" x14ac:dyDescent="0.25">
      <c r="B17" s="105" t="s">
        <v>36</v>
      </c>
      <c r="C17" s="237">
        <v>0</v>
      </c>
      <c r="D17" s="334">
        <f>P17*'Ipoteze de lucru'!C$11</f>
        <v>-24432.271800000002</v>
      </c>
      <c r="E17" s="334">
        <f>Q17*'Ipoteze de lucru'!C$12</f>
        <v>635400.20700000005</v>
      </c>
      <c r="F17" s="334">
        <f>R17*'Ipoteze de lucru'!C$13</f>
        <v>815689.80249999999</v>
      </c>
      <c r="G17" s="334">
        <f>S17*'Ipoteze de lucru'!C$14</f>
        <v>1128785.0080000001</v>
      </c>
      <c r="H17" s="334">
        <f>T17*'Ipoteze de lucru'!C$15</f>
        <v>20813.489999999998</v>
      </c>
      <c r="I17" s="334">
        <f>U17*'Ipoteze de lucru'!C$16</f>
        <v>3995.6954000000005</v>
      </c>
      <c r="J17" s="334">
        <f>V17*'Ipoteze de lucru'!C$17</f>
        <v>19117.945</v>
      </c>
      <c r="K17" s="334">
        <f>W17*'Ipoteze de lucru'!C$18</f>
        <v>21205.5576</v>
      </c>
      <c r="L17" s="334">
        <f>X17*'Ipoteze de lucru'!C$19</f>
        <v>86574.631200000003</v>
      </c>
      <c r="M17" s="398">
        <f t="shared" si="7"/>
        <v>624541</v>
      </c>
      <c r="N17" s="387">
        <f>-PMT('Ipoteze de lucru'!$C$3,'Ipoteze de lucru'!$C$22,'1. CAPEX'!M17)</f>
        <v>67991.487452081317</v>
      </c>
      <c r="O17" s="208"/>
      <c r="P17" s="238">
        <f>('Capacitati 2017'!C77-'Capacitati 2017'!C109)</f>
        <v>-5766</v>
      </c>
      <c r="Q17" s="238">
        <f>('Capacitati 2017'!F77-'Capacitati 2017'!F109)</f>
        <v>150930</v>
      </c>
      <c r="R17" s="238">
        <f>('Capacitati 2017'!I77-'Capacitati 2017'!I109)</f>
        <v>192475</v>
      </c>
      <c r="S17" s="238">
        <f>('Capacitati 2017'!L77-'Capacitati 2017'!L109)</f>
        <v>253318</v>
      </c>
      <c r="T17" s="238">
        <f>('Capacitati 2017'!O77-'Capacitati 2017'!O109)</f>
        <v>4710</v>
      </c>
      <c r="U17" s="238">
        <f>('Capacitati 2017'!R77-'Capacitati 2017'!R109)</f>
        <v>899</v>
      </c>
      <c r="V17" s="238">
        <f>('Capacitati 2017'!U77-'Capacitati 2017'!U109)</f>
        <v>4301</v>
      </c>
      <c r="W17" s="238">
        <f>('Capacitati 2017'!X77-'Capacitati 2017'!X109)</f>
        <v>4722</v>
      </c>
      <c r="X17" s="238">
        <f>('Capacitati 2017'!AA77-'Capacitati 2017'!AA109)</f>
        <v>18952</v>
      </c>
    </row>
    <row r="18" spans="1:24" x14ac:dyDescent="0.25">
      <c r="B18" s="105" t="s">
        <v>37</v>
      </c>
      <c r="C18" s="237">
        <v>0</v>
      </c>
      <c r="D18" s="334">
        <f>P18*'Ipoteze de lucru'!C$11</f>
        <v>-6381.3738000000003</v>
      </c>
      <c r="E18" s="334">
        <f>Q18*'Ipoteze de lucru'!C$12</f>
        <v>-358359.31770000001</v>
      </c>
      <c r="F18" s="334">
        <f>R18*'Ipoteze de lucru'!C$13</f>
        <v>1119932.8813999998</v>
      </c>
      <c r="G18" s="334">
        <f>S18*'Ipoteze de lucru'!C$14</f>
        <v>-422379.78400000004</v>
      </c>
      <c r="H18" s="334">
        <f>T18*'Ipoteze de lucru'!C$15</f>
        <v>3773.8259999999996</v>
      </c>
      <c r="I18" s="334">
        <f>U18*'Ipoteze de lucru'!C$16</f>
        <v>11453.734200000001</v>
      </c>
      <c r="J18" s="334">
        <f>V18*'Ipoteze de lucru'!C$17</f>
        <v>19971.385000000002</v>
      </c>
      <c r="K18" s="334">
        <f>W18*'Ipoteze de lucru'!C$18</f>
        <v>15059.567038419813</v>
      </c>
      <c r="L18" s="334">
        <f>X18*'Ipoteze de lucru'!C$19</f>
        <v>-15019.9128</v>
      </c>
      <c r="M18" s="398">
        <f t="shared" si="7"/>
        <v>90837.426346846842</v>
      </c>
      <c r="N18" s="387">
        <f>-PMT('Ipoteze de lucru'!$C$3,'Ipoteze de lucru'!$C$22,'1. CAPEX'!M18)</f>
        <v>9889.1373563000634</v>
      </c>
      <c r="O18" s="208"/>
      <c r="P18" s="238">
        <f>('Capacitati 2017'!D77-'Capacitati 2017'!D109)</f>
        <v>-1506</v>
      </c>
      <c r="Q18" s="238">
        <f>('Capacitati 2017'!G77-'Capacitati 2017'!G109)</f>
        <v>-85123</v>
      </c>
      <c r="R18" s="238">
        <f>('Capacitati 2017'!J77-'Capacitati 2017'!J109)</f>
        <v>264266</v>
      </c>
      <c r="S18" s="238">
        <f>('Capacitati 2017'!M77-'Capacitati 2017'!M109)</f>
        <v>-94789</v>
      </c>
      <c r="T18" s="238">
        <f>('Capacitati 2017'!P77-'Capacitati 2017'!P109)</f>
        <v>854</v>
      </c>
      <c r="U18" s="238">
        <f>('Capacitati 2017'!S77-'Capacitati 2017'!S109)</f>
        <v>2577</v>
      </c>
      <c r="V18" s="238">
        <f>('Capacitati 2017'!V77-'Capacitati 2017'!V109)</f>
        <v>4493</v>
      </c>
      <c r="W18" s="238">
        <f>('Capacitati 2017'!Y77-'Capacitati 2017'!Y109)</f>
        <v>3353.4263468468453</v>
      </c>
      <c r="X18" s="238">
        <f>('Capacitati 2017'!AB77-'Capacitati 2017'!AB109)</f>
        <v>-3288</v>
      </c>
    </row>
    <row r="19" spans="1:24" s="264" customFormat="1" x14ac:dyDescent="0.25">
      <c r="A19" s="304" t="s">
        <v>209</v>
      </c>
      <c r="B19" s="266" t="s">
        <v>209</v>
      </c>
      <c r="C19" s="267">
        <v>0</v>
      </c>
      <c r="D19" s="267">
        <v>0</v>
      </c>
      <c r="E19" s="267">
        <v>0</v>
      </c>
      <c r="F19" s="267">
        <v>0</v>
      </c>
      <c r="G19" s="267">
        <f>'CAPEX 2013'!G11</f>
        <v>55633</v>
      </c>
      <c r="H19" s="267">
        <f>'CAPEX 2013'!H11</f>
        <v>23600</v>
      </c>
      <c r="I19" s="408">
        <v>2355</v>
      </c>
      <c r="J19" s="408">
        <v>1522</v>
      </c>
      <c r="K19" s="408">
        <v>788</v>
      </c>
      <c r="L19" s="408">
        <v>720</v>
      </c>
      <c r="M19" s="398">
        <f t="shared" si="7"/>
        <v>19030.887150877596</v>
      </c>
      <c r="N19" s="387">
        <f>-PMT('Ipoteze de lucru'!$C$3,'Ipoteze de lucru'!$C$24,'1. CAPEX'!M19)</f>
        <v>2343.091890352855</v>
      </c>
      <c r="O19" s="268"/>
    </row>
    <row r="20" spans="1:24" x14ac:dyDescent="0.25">
      <c r="B20" s="33" t="s">
        <v>103</v>
      </c>
      <c r="C20" s="237">
        <v>0</v>
      </c>
      <c r="D20" s="237">
        <v>0</v>
      </c>
      <c r="E20" s="237">
        <v>0</v>
      </c>
      <c r="F20" s="237">
        <v>0</v>
      </c>
      <c r="G20" s="237">
        <f>'CAPEX 2013'!G12</f>
        <v>33207</v>
      </c>
      <c r="H20" s="237">
        <f>'CAPEX 2013'!H12</f>
        <v>0</v>
      </c>
      <c r="I20" s="237">
        <v>0</v>
      </c>
      <c r="J20" s="237">
        <v>0</v>
      </c>
      <c r="K20" s="237">
        <v>0</v>
      </c>
      <c r="L20" s="237"/>
      <c r="M20" s="398">
        <f t="shared" si="7"/>
        <v>7452.1992818671442</v>
      </c>
      <c r="N20" s="387">
        <f>-PMT('Ipoteze de lucru'!$C$3,'Ipoteze de lucru'!$C$24,'1. CAPEX'!M20)</f>
        <v>917.51832503673211</v>
      </c>
      <c r="O20" s="208"/>
    </row>
    <row r="21" spans="1:24" s="264" customFormat="1" x14ac:dyDescent="0.25">
      <c r="A21" s="304" t="s">
        <v>122</v>
      </c>
      <c r="B21" s="88" t="s">
        <v>122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  <c r="H21" s="267">
        <f>'CAPEX 2013'!H13</f>
        <v>453200</v>
      </c>
      <c r="I21" s="267">
        <v>0</v>
      </c>
      <c r="J21" s="267">
        <v>0</v>
      </c>
      <c r="K21" s="267">
        <v>0</v>
      </c>
      <c r="L21" s="408">
        <v>301589</v>
      </c>
      <c r="M21" s="398">
        <f t="shared" si="7"/>
        <v>168577.80467108655</v>
      </c>
      <c r="N21" s="387">
        <f>-PMT('Ipoteze de lucru'!$C$3,'Ipoteze de lucru'!$C$22,'1. CAPEX'!M21)</f>
        <v>18352.447142771405</v>
      </c>
      <c r="O21" s="399"/>
    </row>
    <row r="22" spans="1:24" x14ac:dyDescent="0.25">
      <c r="B22" s="34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400"/>
      <c r="N22" s="400"/>
      <c r="O22" s="400"/>
    </row>
    <row r="23" spans="1:24" x14ac:dyDescent="0.25">
      <c r="B23" s="234" t="s">
        <v>312</v>
      </c>
      <c r="C23" s="273">
        <f>C24+C27+C30+C32+C33+C36+C37</f>
        <v>4671177</v>
      </c>
      <c r="D23" s="273">
        <f t="shared" ref="D23:G23" si="8">D24+D27+D30+D32+D33+D36+D37</f>
        <v>7010844</v>
      </c>
      <c r="E23" s="273">
        <f t="shared" si="8"/>
        <v>35962043</v>
      </c>
      <c r="F23" s="273">
        <f t="shared" si="8"/>
        <v>74882440.279462293</v>
      </c>
      <c r="G23" s="273">
        <f t="shared" si="8"/>
        <v>121248410.27946228</v>
      </c>
      <c r="H23" s="273">
        <f>H24+H27+H30+H32+H33+H36+H37+H38</f>
        <v>124786008.27946228</v>
      </c>
      <c r="I23" s="273">
        <f t="shared" ref="I23:L23" si="9">I24+I27+I30+I32+I33+I36+I37+I38</f>
        <v>125288655.60626228</v>
      </c>
      <c r="J23" s="273">
        <f t="shared" si="9"/>
        <v>126124271.36126228</v>
      </c>
      <c r="K23" s="273">
        <f t="shared" si="9"/>
        <v>126578871.0767007</v>
      </c>
      <c r="L23" s="273">
        <f t="shared" si="9"/>
        <v>137809265.33100069</v>
      </c>
      <c r="M23" s="401"/>
      <c r="N23" s="401"/>
      <c r="O23" s="401"/>
    </row>
    <row r="24" spans="1:24" s="264" customFormat="1" ht="22.5" outlineLevel="1" x14ac:dyDescent="0.25">
      <c r="A24" s="303"/>
      <c r="B24" s="266" t="s">
        <v>313</v>
      </c>
      <c r="C24" s="273">
        <f>C7</f>
        <v>3684844</v>
      </c>
      <c r="D24" s="273">
        <f>C24+D7</f>
        <v>5303273.2895</v>
      </c>
      <c r="E24" s="273">
        <f>D24+E7</f>
        <v>27778061.533600003</v>
      </c>
      <c r="F24" s="273">
        <f>E24+F7</f>
        <v>58664858.240500003</v>
      </c>
      <c r="G24" s="273">
        <f>F24+G7</f>
        <v>99062475.776500002</v>
      </c>
      <c r="H24" s="273">
        <f>G24+H7</f>
        <v>97941814.631500006</v>
      </c>
      <c r="I24" s="273">
        <f t="shared" ref="I24:L25" si="10">H24+I7</f>
        <v>98264147.631500006</v>
      </c>
      <c r="J24" s="273">
        <f t="shared" si="10"/>
        <v>98863447.631500006</v>
      </c>
      <c r="K24" s="273">
        <f t="shared" si="10"/>
        <v>99187113.631500006</v>
      </c>
      <c r="L24" s="273">
        <f t="shared" si="10"/>
        <v>107510568.63150001</v>
      </c>
      <c r="M24" s="399"/>
      <c r="N24" s="399"/>
      <c r="O24" s="399"/>
    </row>
    <row r="25" spans="1:24" outlineLevel="1" x14ac:dyDescent="0.25">
      <c r="B25" s="38" t="s">
        <v>308</v>
      </c>
      <c r="C25" s="238">
        <f>C8</f>
        <v>203644</v>
      </c>
      <c r="D25" s="238">
        <f t="shared" ref="D25:H38" si="11">C25+D8</f>
        <v>527151</v>
      </c>
      <c r="E25" s="238">
        <f t="shared" si="11"/>
        <v>1034154</v>
      </c>
      <c r="F25" s="238">
        <f t="shared" si="11"/>
        <v>3039754</v>
      </c>
      <c r="G25" s="238">
        <f t="shared" si="11"/>
        <v>4781839</v>
      </c>
      <c r="H25" s="238">
        <f t="shared" si="11"/>
        <v>5515284</v>
      </c>
      <c r="I25" s="238">
        <f t="shared" si="10"/>
        <v>5903406</v>
      </c>
      <c r="J25" s="238">
        <f t="shared" si="10"/>
        <v>6062370</v>
      </c>
      <c r="K25" s="238">
        <f t="shared" si="10"/>
        <v>6450925</v>
      </c>
      <c r="L25" s="238">
        <f t="shared" si="10"/>
        <v>7006398</v>
      </c>
      <c r="M25" s="34"/>
      <c r="N25" s="34"/>
      <c r="O25" s="34"/>
    </row>
    <row r="26" spans="1:24" outlineLevel="1" x14ac:dyDescent="0.25">
      <c r="B26" s="38" t="s">
        <v>314</v>
      </c>
      <c r="C26" s="238">
        <f>C9</f>
        <v>0</v>
      </c>
      <c r="D26" s="238">
        <f t="shared" si="11"/>
        <v>0</v>
      </c>
      <c r="E26" s="238">
        <f t="shared" si="11"/>
        <v>389207</v>
      </c>
      <c r="F26" s="238">
        <f t="shared" si="11"/>
        <v>691707</v>
      </c>
      <c r="G26" s="238">
        <f t="shared" si="11"/>
        <v>734711</v>
      </c>
      <c r="H26" s="238">
        <f t="shared" si="11"/>
        <v>734711</v>
      </c>
      <c r="I26" s="238"/>
      <c r="J26" s="238"/>
      <c r="K26" s="238"/>
      <c r="L26" s="238"/>
      <c r="M26" s="34"/>
      <c r="N26" s="34"/>
      <c r="O26" s="34"/>
    </row>
    <row r="27" spans="1:24" s="264" customFormat="1" outlineLevel="1" x14ac:dyDescent="0.25">
      <c r="A27" s="303"/>
      <c r="B27" s="271" t="s">
        <v>38</v>
      </c>
      <c r="C27" s="267">
        <f>C13</f>
        <v>0</v>
      </c>
      <c r="D27" s="267">
        <f t="shared" si="11"/>
        <v>211377.71050000002</v>
      </c>
      <c r="E27" s="267">
        <f>D27+E10</f>
        <v>2183888.4663999998</v>
      </c>
      <c r="F27" s="267">
        <f>E27+F10</f>
        <v>7112095.7594999988</v>
      </c>
      <c r="G27" s="267">
        <f>F27+G10</f>
        <v>11001934.223499998</v>
      </c>
      <c r="H27" s="267">
        <f>G27+H10</f>
        <v>14921388.368499998</v>
      </c>
      <c r="I27" s="267">
        <f t="shared" ref="I27:L38" si="12">H27+I10</f>
        <v>14950198.265699998</v>
      </c>
      <c r="J27" s="267">
        <f t="shared" si="12"/>
        <v>15038942.690699998</v>
      </c>
      <c r="K27" s="267">
        <f t="shared" si="12"/>
        <v>15087223.281499999</v>
      </c>
      <c r="L27" s="267">
        <f t="shared" si="12"/>
        <v>15726021.817399999</v>
      </c>
      <c r="M27" s="234"/>
      <c r="N27" s="234"/>
      <c r="O27" s="234"/>
      <c r="P27" s="275"/>
    </row>
    <row r="28" spans="1:24" outlineLevel="1" x14ac:dyDescent="0.25">
      <c r="B28" s="105" t="s">
        <v>36</v>
      </c>
      <c r="C28" s="238">
        <f>C11</f>
        <v>0</v>
      </c>
      <c r="D28" s="238">
        <f t="shared" si="11"/>
        <v>179161.51860000001</v>
      </c>
      <c r="E28" s="238">
        <f t="shared" si="11"/>
        <v>1365174.5466000002</v>
      </c>
      <c r="F28" s="238">
        <f t="shared" si="11"/>
        <v>4932079.3638000004</v>
      </c>
      <c r="G28" s="238">
        <f t="shared" si="11"/>
        <v>6767724.1078000003</v>
      </c>
      <c r="H28" s="238">
        <f t="shared" si="11"/>
        <v>6803708.0248000007</v>
      </c>
      <c r="I28" s="238">
        <f t="shared" si="12"/>
        <v>6821273.0840000007</v>
      </c>
      <c r="J28" s="238">
        <f t="shared" si="12"/>
        <v>6876942.2640000004</v>
      </c>
      <c r="K28" s="238">
        <f t="shared" si="12"/>
        <v>6909787.9752000002</v>
      </c>
      <c r="L28" s="238">
        <f t="shared" si="12"/>
        <v>7334630.4114000006</v>
      </c>
      <c r="M28" s="34"/>
      <c r="N28" s="34"/>
      <c r="O28" s="34"/>
      <c r="P28" s="40"/>
    </row>
    <row r="29" spans="1:24" outlineLevel="1" x14ac:dyDescent="0.25">
      <c r="B29" s="105" t="s">
        <v>37</v>
      </c>
      <c r="C29" s="238">
        <f>C12</f>
        <v>0</v>
      </c>
      <c r="D29" s="238">
        <f t="shared" si="11"/>
        <v>32216.191900000002</v>
      </c>
      <c r="E29" s="238">
        <f t="shared" si="11"/>
        <v>818713.91980000003</v>
      </c>
      <c r="F29" s="238">
        <f t="shared" si="11"/>
        <v>2180016.3957000002</v>
      </c>
      <c r="G29" s="238">
        <f t="shared" si="11"/>
        <v>4234210.1157000009</v>
      </c>
      <c r="H29" s="238">
        <f t="shared" si="11"/>
        <v>4260140.8077000007</v>
      </c>
      <c r="I29" s="238">
        <f t="shared" si="12"/>
        <v>4271385.6457000012</v>
      </c>
      <c r="J29" s="238">
        <f t="shared" si="12"/>
        <v>4304460.8907000013</v>
      </c>
      <c r="K29" s="238">
        <f t="shared" si="12"/>
        <v>4319895.7703000009</v>
      </c>
      <c r="L29" s="238">
        <f t="shared" si="12"/>
        <v>4533851.870000001</v>
      </c>
      <c r="M29" s="34"/>
      <c r="N29" s="34"/>
      <c r="O29" s="34"/>
      <c r="P29" s="40"/>
    </row>
    <row r="30" spans="1:24" s="264" customFormat="1" outlineLevel="1" x14ac:dyDescent="0.25">
      <c r="A30" s="303"/>
      <c r="B30" s="266" t="s">
        <v>310</v>
      </c>
      <c r="C30" s="267">
        <f>C14</f>
        <v>0</v>
      </c>
      <c r="D30" s="267">
        <f t="shared" si="11"/>
        <v>0</v>
      </c>
      <c r="E30" s="267">
        <f>D30+E13</f>
        <v>0</v>
      </c>
      <c r="F30" s="267">
        <f>E30+F13</f>
        <v>0</v>
      </c>
      <c r="G30" s="267">
        <f>F30+G13</f>
        <v>384775</v>
      </c>
      <c r="H30" s="267">
        <f>G30+H13</f>
        <v>387180</v>
      </c>
      <c r="I30" s="267">
        <f t="shared" si="12"/>
        <v>409680</v>
      </c>
      <c r="J30" s="267">
        <f t="shared" si="12"/>
        <v>417185</v>
      </c>
      <c r="K30" s="267">
        <f t="shared" si="12"/>
        <v>417185</v>
      </c>
      <c r="L30" s="267">
        <f t="shared" si="12"/>
        <v>423457</v>
      </c>
      <c r="M30" s="234"/>
      <c r="N30" s="234"/>
      <c r="O30" s="234"/>
      <c r="P30" s="275"/>
    </row>
    <row r="31" spans="1:24" outlineLevel="1" x14ac:dyDescent="0.25">
      <c r="B31" s="38" t="s">
        <v>311</v>
      </c>
      <c r="C31" s="238">
        <f t="shared" ref="C31:C38" si="13">C14</f>
        <v>0</v>
      </c>
      <c r="D31" s="238">
        <f t="shared" si="11"/>
        <v>0</v>
      </c>
      <c r="E31" s="238">
        <f t="shared" si="11"/>
        <v>0</v>
      </c>
      <c r="F31" s="238">
        <f t="shared" si="11"/>
        <v>0</v>
      </c>
      <c r="G31" s="238">
        <f t="shared" si="11"/>
        <v>311526</v>
      </c>
      <c r="H31" s="238">
        <f t="shared" si="11"/>
        <v>311526</v>
      </c>
      <c r="I31" s="238">
        <f t="shared" si="12"/>
        <v>328418</v>
      </c>
      <c r="J31" s="238">
        <f t="shared" si="12"/>
        <v>331261</v>
      </c>
      <c r="K31" s="238">
        <f t="shared" si="12"/>
        <v>331261</v>
      </c>
      <c r="L31" s="238">
        <f t="shared" si="12"/>
        <v>338083</v>
      </c>
      <c r="M31" s="34"/>
      <c r="N31" s="34"/>
      <c r="O31" s="34"/>
      <c r="P31" s="40"/>
    </row>
    <row r="32" spans="1:24" s="264" customFormat="1" ht="22.5" outlineLevel="1" x14ac:dyDescent="0.25">
      <c r="A32" s="303"/>
      <c r="B32" s="266" t="s">
        <v>208</v>
      </c>
      <c r="C32" s="267">
        <f t="shared" si="13"/>
        <v>986333</v>
      </c>
      <c r="D32" s="267">
        <f t="shared" si="11"/>
        <v>1527006.6455999999</v>
      </c>
      <c r="E32" s="267">
        <f t="shared" si="11"/>
        <v>5753865.7563000005</v>
      </c>
      <c r="F32" s="267">
        <f t="shared" si="11"/>
        <v>6109748.1595378472</v>
      </c>
      <c r="G32" s="267">
        <f t="shared" si="11"/>
        <v>7008241.9355378468</v>
      </c>
      <c r="H32" s="267">
        <f t="shared" si="11"/>
        <v>7243254.6195378471</v>
      </c>
      <c r="I32" s="267">
        <f t="shared" si="12"/>
        <v>7354454.6195378471</v>
      </c>
      <c r="J32" s="267">
        <f t="shared" si="12"/>
        <v>7453909.6195378471</v>
      </c>
      <c r="K32" s="267">
        <f t="shared" si="12"/>
        <v>7499509.6195378471</v>
      </c>
      <c r="L32" s="267">
        <f t="shared" si="12"/>
        <v>9387514.6195378471</v>
      </c>
      <c r="M32" s="215" t="s">
        <v>185</v>
      </c>
      <c r="N32" s="215"/>
      <c r="O32" s="215"/>
      <c r="P32" s="215"/>
    </row>
    <row r="33" spans="1:16" s="264" customFormat="1" outlineLevel="1" x14ac:dyDescent="0.25">
      <c r="A33" s="303"/>
      <c r="B33" s="266" t="s">
        <v>52</v>
      </c>
      <c r="C33" s="267">
        <f t="shared" si="13"/>
        <v>0</v>
      </c>
      <c r="D33" s="267">
        <f t="shared" si="11"/>
        <v>-30813.645600000003</v>
      </c>
      <c r="E33" s="267">
        <f t="shared" si="11"/>
        <v>246227.24370000005</v>
      </c>
      <c r="F33" s="267">
        <f t="shared" si="11"/>
        <v>2995738.1199244345</v>
      </c>
      <c r="G33" s="267">
        <f t="shared" si="11"/>
        <v>3702143.3439244344</v>
      </c>
      <c r="H33" s="267">
        <f t="shared" si="11"/>
        <v>3726730.6599244345</v>
      </c>
      <c r="I33" s="267">
        <f t="shared" si="12"/>
        <v>3742180.0895244344</v>
      </c>
      <c r="J33" s="267">
        <f t="shared" si="12"/>
        <v>3781269.4195244345</v>
      </c>
      <c r="K33" s="267">
        <f t="shared" si="12"/>
        <v>3817534.5441628541</v>
      </c>
      <c r="L33" s="267">
        <f t="shared" si="12"/>
        <v>3889089.2625628542</v>
      </c>
      <c r="M33" s="215" t="s">
        <v>183</v>
      </c>
      <c r="N33" s="215"/>
      <c r="O33" s="215"/>
      <c r="P33" s="215" t="s">
        <v>184</v>
      </c>
    </row>
    <row r="34" spans="1:16" outlineLevel="1" x14ac:dyDescent="0.25">
      <c r="B34" s="105" t="s">
        <v>36</v>
      </c>
      <c r="C34" s="238">
        <f t="shared" si="13"/>
        <v>0</v>
      </c>
      <c r="D34" s="238">
        <f t="shared" si="11"/>
        <v>-24432.271800000002</v>
      </c>
      <c r="E34" s="238">
        <f t="shared" si="11"/>
        <v>610967.93520000007</v>
      </c>
      <c r="F34" s="238">
        <f>E34+F17</f>
        <v>1426657.7376999999</v>
      </c>
      <c r="G34" s="238">
        <f t="shared" si="11"/>
        <v>2555442.7456999999</v>
      </c>
      <c r="H34" s="238">
        <f t="shared" si="11"/>
        <v>2576256.2357000001</v>
      </c>
      <c r="I34" s="238">
        <f t="shared" si="12"/>
        <v>2580251.9311000002</v>
      </c>
      <c r="J34" s="238">
        <f t="shared" si="12"/>
        <v>2599369.8761</v>
      </c>
      <c r="K34" s="238">
        <f t="shared" si="12"/>
        <v>2620575.4336999999</v>
      </c>
      <c r="L34" s="238">
        <f t="shared" si="12"/>
        <v>2707150.0649000001</v>
      </c>
      <c r="M34" s="215">
        <v>2012</v>
      </c>
      <c r="N34" s="215"/>
      <c r="O34" s="215"/>
      <c r="P34" s="215">
        <v>2013</v>
      </c>
    </row>
    <row r="35" spans="1:16" outlineLevel="1" x14ac:dyDescent="0.25">
      <c r="B35" s="105" t="s">
        <v>37</v>
      </c>
      <c r="C35" s="238">
        <f t="shared" si="13"/>
        <v>0</v>
      </c>
      <c r="D35" s="238">
        <f t="shared" si="11"/>
        <v>-6381.3738000000003</v>
      </c>
      <c r="E35" s="238">
        <f t="shared" si="11"/>
        <v>-364740.69150000002</v>
      </c>
      <c r="F35" s="238">
        <f t="shared" si="11"/>
        <v>755192.18989999988</v>
      </c>
      <c r="G35" s="238">
        <f t="shared" si="11"/>
        <v>332812.40589999984</v>
      </c>
      <c r="H35" s="238">
        <f t="shared" si="11"/>
        <v>336586.23189999984</v>
      </c>
      <c r="I35" s="238">
        <f t="shared" si="12"/>
        <v>348039.96609999985</v>
      </c>
      <c r="J35" s="238">
        <f t="shared" si="12"/>
        <v>368011.35109999985</v>
      </c>
      <c r="K35" s="238">
        <f t="shared" si="12"/>
        <v>383070.91813841969</v>
      </c>
      <c r="L35" s="238">
        <f t="shared" si="12"/>
        <v>368051.00533841969</v>
      </c>
      <c r="M35" s="216">
        <f>F5+G3-G59</f>
        <v>110185847.67247573</v>
      </c>
      <c r="N35" s="216"/>
      <c r="O35" s="216"/>
      <c r="P35" s="216">
        <f>G5+H3-H59</f>
        <v>109289314.41548917</v>
      </c>
    </row>
    <row r="36" spans="1:16" s="264" customFormat="1" outlineLevel="1" x14ac:dyDescent="0.25">
      <c r="A36" s="303"/>
      <c r="B36" s="266" t="s">
        <v>209</v>
      </c>
      <c r="C36" s="267">
        <f t="shared" si="13"/>
        <v>0</v>
      </c>
      <c r="D36" s="267">
        <f t="shared" si="11"/>
        <v>0</v>
      </c>
      <c r="E36" s="267">
        <f t="shared" si="11"/>
        <v>0</v>
      </c>
      <c r="F36" s="267">
        <f t="shared" si="11"/>
        <v>0</v>
      </c>
      <c r="G36" s="267">
        <f t="shared" si="11"/>
        <v>55633</v>
      </c>
      <c r="H36" s="267">
        <f t="shared" si="11"/>
        <v>79233</v>
      </c>
      <c r="I36" s="267">
        <f t="shared" si="12"/>
        <v>81588</v>
      </c>
      <c r="J36" s="267">
        <f t="shared" si="12"/>
        <v>83110</v>
      </c>
      <c r="K36" s="267">
        <f t="shared" si="12"/>
        <v>83898</v>
      </c>
      <c r="L36" s="267">
        <f t="shared" si="12"/>
        <v>84618</v>
      </c>
    </row>
    <row r="37" spans="1:16" outlineLevel="1" x14ac:dyDescent="0.25">
      <c r="B37" s="33" t="s">
        <v>103</v>
      </c>
      <c r="C37" s="237">
        <f t="shared" si="13"/>
        <v>0</v>
      </c>
      <c r="D37" s="237">
        <f t="shared" si="11"/>
        <v>0</v>
      </c>
      <c r="E37" s="237">
        <f t="shared" si="11"/>
        <v>0</v>
      </c>
      <c r="F37" s="237">
        <f t="shared" si="11"/>
        <v>0</v>
      </c>
      <c r="G37" s="237">
        <f t="shared" si="11"/>
        <v>33207</v>
      </c>
      <c r="H37" s="237">
        <f t="shared" si="11"/>
        <v>33207</v>
      </c>
      <c r="I37" s="237">
        <f t="shared" si="12"/>
        <v>33207</v>
      </c>
      <c r="J37" s="237">
        <f t="shared" si="12"/>
        <v>33207</v>
      </c>
      <c r="K37" s="237">
        <f t="shared" si="12"/>
        <v>33207</v>
      </c>
      <c r="L37" s="237">
        <f t="shared" si="12"/>
        <v>33207</v>
      </c>
    </row>
    <row r="38" spans="1:16" outlineLevel="1" x14ac:dyDescent="0.25">
      <c r="B38" s="88" t="s">
        <v>122</v>
      </c>
      <c r="C38" s="237">
        <f t="shared" si="13"/>
        <v>0</v>
      </c>
      <c r="D38" s="237">
        <f t="shared" si="11"/>
        <v>0</v>
      </c>
      <c r="E38" s="237">
        <f t="shared" si="11"/>
        <v>0</v>
      </c>
      <c r="F38" s="237">
        <f t="shared" si="11"/>
        <v>0</v>
      </c>
      <c r="G38" s="237">
        <f t="shared" si="11"/>
        <v>0</v>
      </c>
      <c r="H38" s="237">
        <f t="shared" si="11"/>
        <v>453200</v>
      </c>
      <c r="I38" s="237">
        <f t="shared" si="12"/>
        <v>453200</v>
      </c>
      <c r="J38" s="237">
        <f t="shared" si="12"/>
        <v>453200</v>
      </c>
      <c r="K38" s="237">
        <f t="shared" si="12"/>
        <v>453200</v>
      </c>
      <c r="L38" s="237">
        <f t="shared" si="12"/>
        <v>754789</v>
      </c>
    </row>
    <row r="39" spans="1:16" x14ac:dyDescent="0.25">
      <c r="B39" s="34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34"/>
      <c r="N39" s="34"/>
      <c r="O39" s="34"/>
    </row>
    <row r="40" spans="1:16" s="264" customFormat="1" x14ac:dyDescent="0.25">
      <c r="A40" s="303"/>
      <c r="B40" s="234" t="s">
        <v>315</v>
      </c>
      <c r="C40" s="273">
        <f>C41+C44+C47+C49+C50+C53+C54</f>
        <v>4554397.5750000002</v>
      </c>
      <c r="D40" s="273">
        <f t="shared" ref="D40:G40" si="14">D41+D44+D47+D49+D50+D53+D54</f>
        <v>6718793.4750000006</v>
      </c>
      <c r="E40" s="273">
        <f t="shared" si="14"/>
        <v>34770941.399999999</v>
      </c>
      <c r="F40" s="273">
        <f t="shared" si="14"/>
        <v>71819277.672475725</v>
      </c>
      <c r="G40" s="273">
        <f t="shared" si="14"/>
        <v>115151816.41548915</v>
      </c>
      <c r="H40" s="273">
        <f>H41+H44+H47+H49+H50+H53+H54+H55</f>
        <v>115519379.20850261</v>
      </c>
      <c r="I40" s="273">
        <f t="shared" ref="I40:L40" si="15">I41+I44+I47+I49+I50+I53+I54+I55</f>
        <v>112898270.27014604</v>
      </c>
      <c r="J40" s="273">
        <f t="shared" si="15"/>
        <v>110589201.31611449</v>
      </c>
      <c r="K40" s="273">
        <f t="shared" si="15"/>
        <v>107887731.62963539</v>
      </c>
      <c r="L40" s="273">
        <f t="shared" si="15"/>
        <v>115688818.3506604</v>
      </c>
      <c r="M40" s="274"/>
      <c r="N40" s="274"/>
      <c r="O40" s="274"/>
    </row>
    <row r="41" spans="1:16" s="264" customFormat="1" ht="22.5" outlineLevel="1" x14ac:dyDescent="0.25">
      <c r="A41" s="303"/>
      <c r="B41" s="266" t="s">
        <v>313</v>
      </c>
      <c r="C41" s="273">
        <f t="shared" ref="C41:C54" si="16">C24-C62</f>
        <v>3592722.9</v>
      </c>
      <c r="D41" s="273">
        <f t="shared" ref="D41:L54" si="17">C41+D7-D62</f>
        <v>5078570.3572625006</v>
      </c>
      <c r="E41" s="273">
        <f t="shared" si="17"/>
        <v>26858907.063022502</v>
      </c>
      <c r="F41" s="273">
        <f t="shared" si="17"/>
        <v>56279082.31391</v>
      </c>
      <c r="G41" s="273">
        <f t="shared" si="17"/>
        <v>94200137.955497488</v>
      </c>
      <c r="H41" s="273">
        <f t="shared" si="17"/>
        <v>90630931.444709986</v>
      </c>
      <c r="I41" s="273">
        <f t="shared" si="17"/>
        <v>88496660.753922492</v>
      </c>
      <c r="J41" s="273">
        <f t="shared" si="17"/>
        <v>86624374.563134998</v>
      </c>
      <c r="K41" s="273">
        <f t="shared" si="17"/>
        <v>84468362.722347498</v>
      </c>
      <c r="L41" s="273">
        <f t="shared" si="17"/>
        <v>90104053.506559998</v>
      </c>
    </row>
    <row r="42" spans="1:16" outlineLevel="1" x14ac:dyDescent="0.25">
      <c r="B42" s="38" t="s">
        <v>308</v>
      </c>
      <c r="C42" s="238">
        <f t="shared" si="16"/>
        <v>198552.9</v>
      </c>
      <c r="D42" s="238">
        <f t="shared" si="17"/>
        <v>508881.125</v>
      </c>
      <c r="E42" s="238">
        <f t="shared" si="17"/>
        <v>990030.27500000002</v>
      </c>
      <c r="F42" s="238">
        <f t="shared" si="17"/>
        <v>2919636.4249999998</v>
      </c>
      <c r="G42" s="238">
        <f t="shared" si="17"/>
        <v>4542175.45</v>
      </c>
      <c r="H42" s="238">
        <f t="shared" si="17"/>
        <v>5137738.3500000006</v>
      </c>
      <c r="I42" s="238">
        <f t="shared" si="17"/>
        <v>5378275.2000000002</v>
      </c>
      <c r="J42" s="238">
        <f t="shared" si="17"/>
        <v>5385679.9500000002</v>
      </c>
      <c r="K42" s="238">
        <f t="shared" si="17"/>
        <v>5612961.8250000002</v>
      </c>
      <c r="L42" s="238">
        <f t="shared" si="17"/>
        <v>5993274.875</v>
      </c>
    </row>
    <row r="43" spans="1:16" outlineLevel="1" x14ac:dyDescent="0.25">
      <c r="B43" s="38" t="s">
        <v>314</v>
      </c>
      <c r="C43" s="240">
        <f t="shared" si="16"/>
        <v>0</v>
      </c>
      <c r="D43" s="238">
        <f t="shared" si="17"/>
        <v>0</v>
      </c>
      <c r="E43" s="238">
        <f t="shared" si="17"/>
        <v>379476.82500000001</v>
      </c>
      <c r="F43" s="238">
        <f t="shared" si="17"/>
        <v>664684.14999999991</v>
      </c>
      <c r="G43" s="238">
        <f t="shared" si="17"/>
        <v>689320.37499999988</v>
      </c>
      <c r="H43" s="238">
        <f t="shared" si="17"/>
        <v>670952.59999999986</v>
      </c>
      <c r="I43" s="238">
        <f t="shared" si="17"/>
        <v>652584.82499999984</v>
      </c>
      <c r="J43" s="238">
        <f t="shared" si="17"/>
        <v>652584.82499999984</v>
      </c>
      <c r="K43" s="238">
        <f t="shared" si="17"/>
        <v>652584.82499999984</v>
      </c>
      <c r="L43" s="238">
        <f t="shared" si="17"/>
        <v>652584.82499999984</v>
      </c>
    </row>
    <row r="44" spans="1:16" s="264" customFormat="1" outlineLevel="1" x14ac:dyDescent="0.25">
      <c r="A44" s="303"/>
      <c r="B44" s="271" t="s">
        <v>38</v>
      </c>
      <c r="C44" s="273">
        <f t="shared" si="16"/>
        <v>0</v>
      </c>
      <c r="D44" s="273">
        <f t="shared" si="17"/>
        <v>206093.26773750002</v>
      </c>
      <c r="E44" s="273">
        <f t="shared" si="17"/>
        <v>2124006.8119775001</v>
      </c>
      <c r="F44" s="273">
        <f t="shared" si="17"/>
        <v>6874411.7110899994</v>
      </c>
      <c r="G44" s="273">
        <f t="shared" si="17"/>
        <v>10489201.819502501</v>
      </c>
      <c r="H44" s="273">
        <f t="shared" si="17"/>
        <v>14035621.25529</v>
      </c>
      <c r="I44" s="273">
        <f t="shared" si="17"/>
        <v>13690676.1958475</v>
      </c>
      <c r="J44" s="273">
        <f t="shared" si="17"/>
        <v>13403447.053580001</v>
      </c>
      <c r="K44" s="273">
        <f t="shared" si="17"/>
        <v>13074547.062342502</v>
      </c>
      <c r="L44" s="273">
        <f t="shared" si="17"/>
        <v>13320195.052807502</v>
      </c>
    </row>
    <row r="45" spans="1:16" outlineLevel="1" x14ac:dyDescent="0.25">
      <c r="B45" s="105" t="s">
        <v>36</v>
      </c>
      <c r="C45" s="238">
        <f t="shared" si="16"/>
        <v>0</v>
      </c>
      <c r="D45" s="238">
        <f t="shared" si="17"/>
        <v>174682.48063500001</v>
      </c>
      <c r="E45" s="238">
        <f t="shared" si="17"/>
        <v>1326566.14497</v>
      </c>
      <c r="F45" s="238">
        <f t="shared" si="17"/>
        <v>4770168.9780750005</v>
      </c>
      <c r="G45" s="238">
        <f t="shared" si="17"/>
        <v>6436620.61938</v>
      </c>
      <c r="H45" s="238">
        <f t="shared" si="17"/>
        <v>6302511.8357600002</v>
      </c>
      <c r="I45" s="238">
        <f t="shared" si="17"/>
        <v>6149545.0678599998</v>
      </c>
      <c r="J45" s="238">
        <f t="shared" si="17"/>
        <v>6033290.6912599998</v>
      </c>
      <c r="K45" s="238">
        <f t="shared" si="17"/>
        <v>5893391.7030799994</v>
      </c>
      <c r="L45" s="238">
        <f t="shared" si="17"/>
        <v>6134868.3789949995</v>
      </c>
    </row>
    <row r="46" spans="1:16" outlineLevel="1" x14ac:dyDescent="0.25">
      <c r="B46" s="105" t="s">
        <v>37</v>
      </c>
      <c r="C46" s="238">
        <f t="shared" si="16"/>
        <v>0</v>
      </c>
      <c r="D46" s="238">
        <f t="shared" si="17"/>
        <v>31410.787102500002</v>
      </c>
      <c r="E46" s="238">
        <f t="shared" si="17"/>
        <v>797440.66700750007</v>
      </c>
      <c r="F46" s="238">
        <f t="shared" si="17"/>
        <v>2104242.7330150004</v>
      </c>
      <c r="G46" s="238">
        <f t="shared" si="17"/>
        <v>4052581.2001225008</v>
      </c>
      <c r="H46" s="238">
        <f t="shared" si="17"/>
        <v>3972008.3719300004</v>
      </c>
      <c r="I46" s="238">
        <f t="shared" si="17"/>
        <v>3876468.5687875003</v>
      </c>
      <c r="J46" s="238">
        <f t="shared" si="17"/>
        <v>3801932.2915200004</v>
      </c>
      <c r="K46" s="238">
        <f t="shared" si="17"/>
        <v>3709369.7768625007</v>
      </c>
      <c r="L46" s="238">
        <f t="shared" si="17"/>
        <v>3809979.5798125006</v>
      </c>
    </row>
    <row r="47" spans="1:16" s="264" customFormat="1" outlineLevel="1" x14ac:dyDescent="0.25">
      <c r="A47" s="303"/>
      <c r="B47" s="266" t="s">
        <v>310</v>
      </c>
      <c r="C47" s="273">
        <f t="shared" si="16"/>
        <v>0</v>
      </c>
      <c r="D47" s="273">
        <f t="shared" si="17"/>
        <v>0</v>
      </c>
      <c r="E47" s="273">
        <f t="shared" si="17"/>
        <v>0</v>
      </c>
      <c r="F47" s="273">
        <f t="shared" si="17"/>
        <v>0</v>
      </c>
      <c r="G47" s="273">
        <f t="shared" si="17"/>
        <v>375155.625</v>
      </c>
      <c r="H47" s="273">
        <f t="shared" si="17"/>
        <v>367881.125</v>
      </c>
      <c r="I47" s="273">
        <f t="shared" si="17"/>
        <v>380139.125</v>
      </c>
      <c r="J47" s="273">
        <f t="shared" si="17"/>
        <v>377214.5</v>
      </c>
      <c r="K47" s="273">
        <f t="shared" si="17"/>
        <v>366784.875</v>
      </c>
      <c r="L47" s="273">
        <f t="shared" si="17"/>
        <v>362470.45</v>
      </c>
    </row>
    <row r="48" spans="1:16" outlineLevel="1" x14ac:dyDescent="0.25">
      <c r="B48" s="38" t="s">
        <v>311</v>
      </c>
      <c r="C48" s="238">
        <f t="shared" si="16"/>
        <v>0</v>
      </c>
      <c r="D48" s="238">
        <f t="shared" si="17"/>
        <v>0</v>
      </c>
      <c r="E48" s="238">
        <f t="shared" si="17"/>
        <v>0</v>
      </c>
      <c r="F48" s="238">
        <f t="shared" si="17"/>
        <v>0</v>
      </c>
      <c r="G48" s="238">
        <f t="shared" si="17"/>
        <v>303737.84999999998</v>
      </c>
      <c r="H48" s="238">
        <f t="shared" si="17"/>
        <v>295949.69999999995</v>
      </c>
      <c r="I48" s="238">
        <f t="shared" si="17"/>
        <v>304631.24999999994</v>
      </c>
      <c r="J48" s="238">
        <f t="shared" si="17"/>
        <v>299192.72499999992</v>
      </c>
      <c r="K48" s="238">
        <f t="shared" si="17"/>
        <v>290911.1999999999</v>
      </c>
      <c r="L48" s="238">
        <f t="shared" si="17"/>
        <v>289281.12499999988</v>
      </c>
    </row>
    <row r="49" spans="1:15" s="264" customFormat="1" ht="22.5" outlineLevel="1" x14ac:dyDescent="0.25">
      <c r="A49" s="303"/>
      <c r="B49" s="266" t="s">
        <v>208</v>
      </c>
      <c r="C49" s="273">
        <f t="shared" si="16"/>
        <v>961674.67500000005</v>
      </c>
      <c r="D49" s="273">
        <f t="shared" si="17"/>
        <v>1464173.1544600001</v>
      </c>
      <c r="E49" s="273">
        <f t="shared" si="17"/>
        <v>5547185.6212524995</v>
      </c>
      <c r="F49" s="273">
        <f t="shared" si="17"/>
        <v>5750324.3205019003</v>
      </c>
      <c r="G49" s="273">
        <f t="shared" si="17"/>
        <v>6473612.0481134541</v>
      </c>
      <c r="H49" s="273">
        <f t="shared" si="17"/>
        <v>6527543.3666250082</v>
      </c>
      <c r="I49" s="273">
        <f t="shared" si="17"/>
        <v>6454882.0011365619</v>
      </c>
      <c r="J49" s="273">
        <f t="shared" si="17"/>
        <v>6367989.2606481155</v>
      </c>
      <c r="K49" s="273">
        <f t="shared" si="17"/>
        <v>6226101.5201596692</v>
      </c>
      <c r="L49" s="273">
        <f t="shared" si="17"/>
        <v>7879418.6546712229</v>
      </c>
    </row>
    <row r="50" spans="1:15" s="264" customFormat="1" outlineLevel="1" x14ac:dyDescent="0.25">
      <c r="A50" s="303"/>
      <c r="B50" s="266" t="s">
        <v>52</v>
      </c>
      <c r="C50" s="273">
        <f t="shared" si="16"/>
        <v>0</v>
      </c>
      <c r="D50" s="273">
        <f t="shared" si="17"/>
        <v>-30043.304460000003</v>
      </c>
      <c r="E50" s="273">
        <f t="shared" si="17"/>
        <v>240841.90374750004</v>
      </c>
      <c r="F50" s="273">
        <f t="shared" si="17"/>
        <v>2915459.3269738234</v>
      </c>
      <c r="G50" s="273">
        <f t="shared" si="17"/>
        <v>3529310.9673757125</v>
      </c>
      <c r="H50" s="273">
        <f t="shared" si="17"/>
        <v>3460730.0168776019</v>
      </c>
      <c r="I50" s="273">
        <f t="shared" si="17"/>
        <v>3382624.9442394911</v>
      </c>
      <c r="J50" s="273">
        <f t="shared" si="17"/>
        <v>3327182.5387513805</v>
      </c>
      <c r="K50" s="273">
        <f t="shared" si="17"/>
        <v>3268009.2997857286</v>
      </c>
      <c r="L50" s="273">
        <f t="shared" si="17"/>
        <v>3242336.7866216572</v>
      </c>
    </row>
    <row r="51" spans="1:15" outlineLevel="1" x14ac:dyDescent="0.25">
      <c r="B51" s="105" t="s">
        <v>36</v>
      </c>
      <c r="C51" s="238">
        <f t="shared" si="16"/>
        <v>0</v>
      </c>
      <c r="D51" s="238">
        <f t="shared" si="17"/>
        <v>-23821.465005000002</v>
      </c>
      <c r="E51" s="238">
        <f t="shared" si="17"/>
        <v>596304.54361500009</v>
      </c>
      <c r="F51" s="238">
        <f t="shared" si="17"/>
        <v>1376327.9026725001</v>
      </c>
      <c r="G51" s="238">
        <f t="shared" si="17"/>
        <v>2441226.8420300004</v>
      </c>
      <c r="H51" s="238">
        <f t="shared" si="17"/>
        <v>2397633.9261375004</v>
      </c>
      <c r="I51" s="238">
        <f t="shared" si="17"/>
        <v>2337123.3232600004</v>
      </c>
      <c r="J51" s="238">
        <f t="shared" si="17"/>
        <v>2291257.0213575005</v>
      </c>
      <c r="K51" s="238">
        <f t="shared" si="17"/>
        <v>2246948.1931150006</v>
      </c>
      <c r="L51" s="238">
        <f t="shared" si="17"/>
        <v>2265844.0726925009</v>
      </c>
    </row>
    <row r="52" spans="1:15" outlineLevel="1" x14ac:dyDescent="0.25">
      <c r="B52" s="105" t="s">
        <v>37</v>
      </c>
      <c r="C52" s="238">
        <f t="shared" si="16"/>
        <v>0</v>
      </c>
      <c r="D52" s="238">
        <f t="shared" si="17"/>
        <v>-6221.8394550000003</v>
      </c>
      <c r="E52" s="238">
        <f t="shared" si="17"/>
        <v>-355462.63986749999</v>
      </c>
      <c r="F52" s="238">
        <f t="shared" si="17"/>
        <v>745590.43678499991</v>
      </c>
      <c r="G52" s="238">
        <f t="shared" si="17"/>
        <v>314890.34263749985</v>
      </c>
      <c r="H52" s="238">
        <f t="shared" si="17"/>
        <v>310249.51283999986</v>
      </c>
      <c r="I52" s="238">
        <f t="shared" si="17"/>
        <v>313002.24788749986</v>
      </c>
      <c r="J52" s="238">
        <f t="shared" si="17"/>
        <v>323773.34910999989</v>
      </c>
      <c r="K52" s="238">
        <f t="shared" si="17"/>
        <v>329256.14319495921</v>
      </c>
      <c r="L52" s="238">
        <f t="shared" si="17"/>
        <v>305034.95526149875</v>
      </c>
    </row>
    <row r="53" spans="1:15" s="264" customFormat="1" outlineLevel="1" x14ac:dyDescent="0.25">
      <c r="A53" s="303"/>
      <c r="B53" s="266" t="s">
        <v>209</v>
      </c>
      <c r="C53" s="273">
        <f t="shared" si="16"/>
        <v>0</v>
      </c>
      <c r="D53" s="273">
        <f t="shared" si="17"/>
        <v>0</v>
      </c>
      <c r="E53" s="273">
        <f t="shared" si="17"/>
        <v>0</v>
      </c>
      <c r="F53" s="273">
        <f t="shared" si="17"/>
        <v>0</v>
      </c>
      <c r="G53" s="273">
        <f t="shared" si="17"/>
        <v>52851.35</v>
      </c>
      <c r="H53" s="273">
        <f t="shared" si="17"/>
        <v>72489.700000000012</v>
      </c>
      <c r="I53" s="273">
        <f t="shared" si="17"/>
        <v>70765.300000000017</v>
      </c>
      <c r="J53" s="273">
        <f t="shared" si="17"/>
        <v>68131.800000000017</v>
      </c>
      <c r="K53" s="273">
        <f t="shared" si="17"/>
        <v>64724.900000000016</v>
      </c>
      <c r="L53" s="273">
        <f t="shared" si="17"/>
        <v>61214.000000000015</v>
      </c>
    </row>
    <row r="54" spans="1:15" outlineLevel="1" x14ac:dyDescent="0.25">
      <c r="B54" s="33" t="s">
        <v>103</v>
      </c>
      <c r="C54" s="240">
        <f t="shared" si="16"/>
        <v>0</v>
      </c>
      <c r="D54" s="240">
        <f t="shared" si="17"/>
        <v>0</v>
      </c>
      <c r="E54" s="240">
        <f t="shared" si="17"/>
        <v>0</v>
      </c>
      <c r="F54" s="240">
        <f t="shared" si="17"/>
        <v>0</v>
      </c>
      <c r="G54" s="240">
        <f t="shared" si="17"/>
        <v>31546.65</v>
      </c>
      <c r="H54" s="240">
        <f t="shared" si="17"/>
        <v>29886.300000000003</v>
      </c>
      <c r="I54" s="240">
        <f t="shared" si="17"/>
        <v>28225.950000000004</v>
      </c>
      <c r="J54" s="240">
        <f t="shared" si="17"/>
        <v>26565.600000000006</v>
      </c>
      <c r="K54" s="240">
        <f t="shared" si="17"/>
        <v>24905.250000000007</v>
      </c>
      <c r="L54" s="240">
        <f t="shared" si="17"/>
        <v>23244.900000000009</v>
      </c>
    </row>
    <row r="55" spans="1:15" outlineLevel="1" x14ac:dyDescent="0.25">
      <c r="B55" s="88" t="s">
        <v>122</v>
      </c>
      <c r="C55" s="240">
        <f>C38-C77</f>
        <v>0</v>
      </c>
      <c r="D55" s="240">
        <f t="shared" ref="D55:L55" si="18">D38-D77</f>
        <v>0</v>
      </c>
      <c r="E55" s="240">
        <f t="shared" si="18"/>
        <v>0</v>
      </c>
      <c r="F55" s="240">
        <f t="shared" si="18"/>
        <v>0</v>
      </c>
      <c r="G55" s="240">
        <f t="shared" si="18"/>
        <v>-58904</v>
      </c>
      <c r="H55" s="240">
        <f t="shared" si="18"/>
        <v>394296</v>
      </c>
      <c r="I55" s="240">
        <f t="shared" si="18"/>
        <v>394296</v>
      </c>
      <c r="J55" s="240">
        <f t="shared" si="18"/>
        <v>394296</v>
      </c>
      <c r="K55" s="240">
        <f t="shared" si="18"/>
        <v>394296</v>
      </c>
      <c r="L55" s="240">
        <f t="shared" si="18"/>
        <v>695885</v>
      </c>
      <c r="M55" s="34"/>
      <c r="N55" s="34"/>
      <c r="O55" s="34"/>
    </row>
    <row r="56" spans="1:15" x14ac:dyDescent="0.25">
      <c r="C56" s="317"/>
      <c r="D56" s="317"/>
      <c r="E56" s="317"/>
      <c r="F56" s="317"/>
      <c r="G56" s="317"/>
      <c r="H56" s="317"/>
      <c r="I56" s="317"/>
      <c r="J56" s="317"/>
      <c r="K56" s="317"/>
      <c r="L56" s="317"/>
    </row>
    <row r="57" spans="1:15" ht="15.75" thickBot="1" x14ac:dyDescent="0.3"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N57" s="265" t="s">
        <v>320</v>
      </c>
      <c r="O57" s="528"/>
    </row>
    <row r="58" spans="1:15" ht="15.75" thickBot="1" x14ac:dyDescent="0.3">
      <c r="B58" s="32" t="s">
        <v>316</v>
      </c>
      <c r="C58" s="243">
        <f>C62+C65+C68+C70+C71+C74+C75</f>
        <v>116779.425</v>
      </c>
      <c r="D58" s="244">
        <f t="shared" ref="D58:F58" si="19">D62+D65+D68+D70+D71+D74+D75</f>
        <v>175271.1</v>
      </c>
      <c r="E58" s="244">
        <f t="shared" si="19"/>
        <v>899051.07500000019</v>
      </c>
      <c r="F58" s="244">
        <f t="shared" si="19"/>
        <v>1872061.0069865568</v>
      </c>
      <c r="G58" s="244">
        <f>G62+G65+G68+G70+G71+G74+G75</f>
        <v>3033431.256986557</v>
      </c>
      <c r="H58" s="244">
        <f>H62+H65+H68+H70+H71+H74+H75+H76</f>
        <v>3122461.2069865572</v>
      </c>
      <c r="I58" s="244">
        <f t="shared" ref="I58:L58" si="20">I62+I65+I68+I70+I71+I74+I75+I76</f>
        <v>3135086.2651565573</v>
      </c>
      <c r="J58" s="244">
        <f t="shared" si="20"/>
        <v>3156014.7090315572</v>
      </c>
      <c r="K58" s="244">
        <f t="shared" si="20"/>
        <v>3167399.4019175181</v>
      </c>
      <c r="L58" s="244">
        <f t="shared" si="20"/>
        <v>3448177.2582750181</v>
      </c>
      <c r="N58" s="402"/>
      <c r="O58" s="528"/>
    </row>
    <row r="59" spans="1:15" s="208" customFormat="1" x14ac:dyDescent="0.25">
      <c r="A59" s="307"/>
      <c r="B59" s="269" t="s">
        <v>317</v>
      </c>
      <c r="C59" s="245">
        <v>0</v>
      </c>
      <c r="D59" s="406">
        <v>88451</v>
      </c>
      <c r="E59" s="406">
        <v>328444</v>
      </c>
      <c r="F59" s="406">
        <v>3421555</v>
      </c>
      <c r="G59" s="406">
        <v>7999400</v>
      </c>
      <c r="H59" s="406">
        <v>9400100</v>
      </c>
      <c r="I59" s="406">
        <v>8455222</v>
      </c>
      <c r="J59" s="406">
        <v>6022355</v>
      </c>
      <c r="K59" s="406">
        <v>8300222</v>
      </c>
      <c r="L59" s="406">
        <v>6012005</v>
      </c>
      <c r="M59" s="31"/>
      <c r="N59" s="371"/>
      <c r="O59" s="528"/>
    </row>
    <row r="60" spans="1:15" x14ac:dyDescent="0.25">
      <c r="B60" s="32" t="s">
        <v>55</v>
      </c>
      <c r="C60" s="246">
        <f t="shared" ref="C60:F60" si="21">C58-C59</f>
        <v>116779.425</v>
      </c>
      <c r="D60" s="246">
        <f t="shared" si="21"/>
        <v>86820.1</v>
      </c>
      <c r="E60" s="246">
        <f t="shared" si="21"/>
        <v>570607.07500000019</v>
      </c>
      <c r="F60" s="246">
        <f t="shared" si="21"/>
        <v>-1549493.9930134432</v>
      </c>
      <c r="G60" s="246">
        <f>G58-G59</f>
        <v>-4965968.7430134434</v>
      </c>
      <c r="H60" s="246">
        <f>H58-H59</f>
        <v>-6277638.7930134423</v>
      </c>
      <c r="I60" s="246">
        <f t="shared" ref="I60:L60" si="22">I58-I59</f>
        <v>-5320135.7348434422</v>
      </c>
      <c r="J60" s="246">
        <f t="shared" si="22"/>
        <v>-2866340.2909684428</v>
      </c>
      <c r="K60" s="246">
        <f t="shared" si="22"/>
        <v>-5132822.5980824819</v>
      </c>
      <c r="L60" s="246">
        <f t="shared" si="22"/>
        <v>-2563827.7417249819</v>
      </c>
      <c r="N60" s="372"/>
      <c r="O60" s="386"/>
    </row>
    <row r="61" spans="1:15" outlineLevel="1" x14ac:dyDescent="0.25">
      <c r="B61" s="139" t="s">
        <v>318</v>
      </c>
      <c r="C61" s="247">
        <f>C58</f>
        <v>116779.425</v>
      </c>
      <c r="D61" s="247">
        <f t="shared" ref="D61:L61" si="23">C61+D58</f>
        <v>292050.52500000002</v>
      </c>
      <c r="E61" s="247">
        <f t="shared" si="23"/>
        <v>1191101.6000000001</v>
      </c>
      <c r="F61" s="247">
        <f t="shared" si="23"/>
        <v>3063162.6069865571</v>
      </c>
      <c r="G61" s="247">
        <f t="shared" si="23"/>
        <v>6096593.8639731146</v>
      </c>
      <c r="H61" s="247">
        <f t="shared" si="23"/>
        <v>9219055.0709596723</v>
      </c>
      <c r="I61" s="247">
        <f t="shared" si="23"/>
        <v>12354141.33611623</v>
      </c>
      <c r="J61" s="247">
        <f t="shared" si="23"/>
        <v>15510156.045147788</v>
      </c>
      <c r="K61" s="247">
        <f t="shared" si="23"/>
        <v>18677555.447065305</v>
      </c>
      <c r="L61" s="247">
        <f t="shared" si="23"/>
        <v>22125732.705340322</v>
      </c>
      <c r="N61" s="372"/>
      <c r="O61" s="386"/>
    </row>
    <row r="62" spans="1:15" s="264" customFormat="1" ht="23.25" customHeight="1" outlineLevel="1" x14ac:dyDescent="0.25">
      <c r="A62" s="303"/>
      <c r="B62" s="266" t="s">
        <v>313</v>
      </c>
      <c r="C62" s="251">
        <f>C7/'Ipoteze de lucru'!C22</f>
        <v>92121.1</v>
      </c>
      <c r="D62" s="251">
        <f>(C24+D7)/'Ipoteze de lucru'!$C$22</f>
        <v>132581.8322375</v>
      </c>
      <c r="E62" s="251">
        <f>(D24+E7)/'Ipoteze de lucru'!$C$22</f>
        <v>694451.53834000009</v>
      </c>
      <c r="F62" s="251">
        <f>(E24+F7)/'Ipoteze de lucru'!$C$22</f>
        <v>1466621.4560125</v>
      </c>
      <c r="G62" s="251">
        <f>(F24+G7)/'Ipoteze de lucru'!$C$22</f>
        <v>2476561.8944124999</v>
      </c>
      <c r="H62" s="251">
        <f>((G24+H7))/'Ipoteze de lucru'!$C$22</f>
        <v>2448545.3657875</v>
      </c>
      <c r="I62" s="251">
        <f>((H24+I7))/'Ipoteze de lucru'!$C$22</f>
        <v>2456603.6907875002</v>
      </c>
      <c r="J62" s="251">
        <f>((I24+J7))/'Ipoteze de lucru'!$C$22</f>
        <v>2471586.1907875002</v>
      </c>
      <c r="K62" s="251">
        <f>((J24+K7))/'Ipoteze de lucru'!$C$22</f>
        <v>2479677.8407875001</v>
      </c>
      <c r="L62" s="251">
        <f>((K24+L7))/'Ipoteze de lucru'!$C$22</f>
        <v>2687764.2157875001</v>
      </c>
      <c r="M62" s="31"/>
      <c r="N62" s="403">
        <f>N7</f>
        <v>2713287.9865511456</v>
      </c>
      <c r="O62" s="387"/>
    </row>
    <row r="63" spans="1:15" ht="23.25" customHeight="1" outlineLevel="1" x14ac:dyDescent="0.25">
      <c r="B63" s="38" t="s">
        <v>308</v>
      </c>
      <c r="C63" s="238">
        <f>C25/'Ipoteze de lucru'!$C$22</f>
        <v>5091.1000000000004</v>
      </c>
      <c r="D63" s="238">
        <f>(C25+D8)/'Ipoteze de lucru'!$C$22</f>
        <v>13178.775</v>
      </c>
      <c r="E63" s="238">
        <f>(D25+E8)/'Ipoteze de lucru'!$C$22</f>
        <v>25853.85</v>
      </c>
      <c r="F63" s="238">
        <f>(E25+F8)/'Ipoteze de lucru'!$C$22</f>
        <v>75993.850000000006</v>
      </c>
      <c r="G63" s="238">
        <f>(F25+G8)/'Ipoteze de lucru'!$C$22</f>
        <v>119545.97500000001</v>
      </c>
      <c r="H63" s="238">
        <f>(G25+H8)/'Ipoteze de lucru'!$C$22</f>
        <v>137882.1</v>
      </c>
      <c r="I63" s="238">
        <f>(H25+I8)/'Ipoteze de lucru'!$C$22</f>
        <v>147585.15</v>
      </c>
      <c r="J63" s="238">
        <f>(I25+J8)/'Ipoteze de lucru'!$C$22</f>
        <v>151559.25</v>
      </c>
      <c r="K63" s="238">
        <f>(J25+K8)/'Ipoteze de lucru'!$C$22</f>
        <v>161273.125</v>
      </c>
      <c r="L63" s="238">
        <f>(K25+L8)/'Ipoteze de lucru'!$C$22</f>
        <v>175159.95</v>
      </c>
      <c r="N63" s="403">
        <f t="shared" ref="N63:N76" si="24">N8</f>
        <v>175651.99438409481</v>
      </c>
      <c r="O63" s="387"/>
    </row>
    <row r="64" spans="1:15" ht="23.25" customHeight="1" outlineLevel="1" x14ac:dyDescent="0.25">
      <c r="B64" s="38" t="s">
        <v>314</v>
      </c>
      <c r="C64" s="238">
        <f>C26/'Ipoteze de lucru'!$C$22</f>
        <v>0</v>
      </c>
      <c r="D64" s="238">
        <f>(C26+D9)/'Ipoteze de lucru'!$C$22</f>
        <v>0</v>
      </c>
      <c r="E64" s="238">
        <f>(D26+E9)/'Ipoteze de lucru'!$C$22</f>
        <v>9730.1749999999993</v>
      </c>
      <c r="F64" s="238">
        <f>(E26+F9)/'Ipoteze de lucru'!$C$22</f>
        <v>17292.674999999999</v>
      </c>
      <c r="G64" s="238">
        <f>(F26+G9)/'Ipoteze de lucru'!$C$22</f>
        <v>18367.775000000001</v>
      </c>
      <c r="H64" s="238">
        <f>(G26+H9)/'Ipoteze de lucru'!$C$22</f>
        <v>18367.775000000001</v>
      </c>
      <c r="I64" s="238">
        <f>(H26+I9)/'Ipoteze de lucru'!$C$22</f>
        <v>18367.775000000001</v>
      </c>
      <c r="J64" s="238">
        <f>(I26+J9)/'Ipoteze de lucru'!$C$22</f>
        <v>0</v>
      </c>
      <c r="K64" s="238">
        <f>(J26+K9)/'Ipoteze de lucru'!$C$22</f>
        <v>0</v>
      </c>
      <c r="L64" s="238">
        <f>(K26+L9)/'Ipoteze de lucru'!$C$22</f>
        <v>0</v>
      </c>
      <c r="N64" s="403">
        <f t="shared" si="24"/>
        <v>18886.230795133375</v>
      </c>
      <c r="O64" s="387"/>
    </row>
    <row r="65" spans="1:15" s="264" customFormat="1" outlineLevel="1" x14ac:dyDescent="0.25">
      <c r="A65" s="303"/>
      <c r="B65" s="271" t="s">
        <v>38</v>
      </c>
      <c r="C65" s="272">
        <f>C27/'Ipoteze de lucru'!$C$22</f>
        <v>0</v>
      </c>
      <c r="D65" s="251">
        <f>(C27+D10)/'Ipoteze de lucru'!$C$22</f>
        <v>5284.4427625000008</v>
      </c>
      <c r="E65" s="251">
        <f>(D27+E10)/'Ipoteze de lucru'!$C$22</f>
        <v>54597.211659999994</v>
      </c>
      <c r="F65" s="251">
        <f>(E27+F10)/'Ipoteze de lucru'!$C$22</f>
        <v>177802.39398749996</v>
      </c>
      <c r="G65" s="251">
        <f>(F27+G10)/'Ipoteze de lucru'!$C$22</f>
        <v>275048.35558749997</v>
      </c>
      <c r="H65" s="251">
        <f>(G27+H10)/'Ipoteze de lucru'!$C$22</f>
        <v>373034.70921249996</v>
      </c>
      <c r="I65" s="251">
        <f>(H27+I10)/'Ipoteze de lucru'!$C$22</f>
        <v>373754.95664249995</v>
      </c>
      <c r="J65" s="251">
        <f>(I27+J10)/'Ipoteze de lucru'!$C$22</f>
        <v>375973.56726749998</v>
      </c>
      <c r="K65" s="251">
        <f>(J27+K10)/'Ipoteze de lucru'!$C$22</f>
        <v>377180.58203749999</v>
      </c>
      <c r="L65" s="251">
        <f>(K27+L10)/'Ipoteze de lucru'!$C$22</f>
        <v>393150.54543499998</v>
      </c>
      <c r="M65" s="31"/>
      <c r="N65" s="403">
        <f t="shared" si="24"/>
        <v>393905.71229908156</v>
      </c>
      <c r="O65" s="387"/>
    </row>
    <row r="66" spans="1:15" outlineLevel="1" x14ac:dyDescent="0.25">
      <c r="B66" s="105" t="s">
        <v>36</v>
      </c>
      <c r="C66" s="238">
        <f>C28/'Ipoteze de lucru'!$C$22</f>
        <v>0</v>
      </c>
      <c r="D66" s="238">
        <f>(C28+D11)/'Ipoteze de lucru'!$C$22</f>
        <v>4479.0379650000004</v>
      </c>
      <c r="E66" s="238">
        <f>(D28+E11)/'Ipoteze de lucru'!$C$22</f>
        <v>34129.363665000004</v>
      </c>
      <c r="F66" s="238">
        <f>(E28+F11)/'Ipoteze de lucru'!$C$22</f>
        <v>123301.98409500001</v>
      </c>
      <c r="G66" s="238">
        <f>(F28+G11)/'Ipoteze de lucru'!$C$22</f>
        <v>169193.10269500001</v>
      </c>
      <c r="H66" s="238">
        <f>(G28+H11)/'Ipoteze de lucru'!$C$22</f>
        <v>170092.70062000002</v>
      </c>
      <c r="I66" s="238">
        <f>(H28+I11)/'Ipoteze de lucru'!$C$22</f>
        <v>170531.82710000002</v>
      </c>
      <c r="J66" s="238">
        <f>(I28+J11)/'Ipoteze de lucru'!$C$22</f>
        <v>171923.55660000001</v>
      </c>
      <c r="K66" s="238">
        <f>(J28+K11)/'Ipoteze de lucru'!$C$22</f>
        <v>172744.69938000001</v>
      </c>
      <c r="L66" s="238">
        <f>(K28+L11)/'Ipoteze de lucru'!$C$22</f>
        <v>183365.76028500003</v>
      </c>
      <c r="N66" s="403">
        <f t="shared" si="24"/>
        <v>185350.80791731985</v>
      </c>
      <c r="O66" s="387"/>
    </row>
    <row r="67" spans="1:15" outlineLevel="1" x14ac:dyDescent="0.25">
      <c r="B67" s="105" t="s">
        <v>37</v>
      </c>
      <c r="C67" s="238">
        <f>C29/'Ipoteze de lucru'!$C$22</f>
        <v>0</v>
      </c>
      <c r="D67" s="238">
        <f>(C29+D12)/'Ipoteze de lucru'!$C$22</f>
        <v>805.40479750000009</v>
      </c>
      <c r="E67" s="238">
        <f>(D29+E12)/'Ipoteze de lucru'!$C$22</f>
        <v>20467.847995</v>
      </c>
      <c r="F67" s="238">
        <f>(E29+F12)/'Ipoteze de lucru'!$C$22</f>
        <v>54500.409892500007</v>
      </c>
      <c r="G67" s="238">
        <f>(F29+G12)/'Ipoteze de lucru'!$C$22</f>
        <v>105855.25289250002</v>
      </c>
      <c r="H67" s="238">
        <f>((G29+H12))/'Ipoteze de lucru'!$C$22</f>
        <v>106503.52019250001</v>
      </c>
      <c r="I67" s="238">
        <f>((H29+I12))/'Ipoteze de lucru'!$C$22</f>
        <v>106784.64114250003</v>
      </c>
      <c r="J67" s="238">
        <f>((I29+J12))/'Ipoteze de lucru'!$C$22</f>
        <v>107611.52226750003</v>
      </c>
      <c r="K67" s="238">
        <f>((J29+K12))/'Ipoteze de lucru'!$C$22</f>
        <v>107997.39425750003</v>
      </c>
      <c r="L67" s="238">
        <f>((K29+L12))/'Ipoteze de lucru'!$C$22</f>
        <v>113346.29675000002</v>
      </c>
      <c r="N67" s="403">
        <f t="shared" si="24"/>
        <v>113520.69362158793</v>
      </c>
      <c r="O67" s="387"/>
    </row>
    <row r="68" spans="1:15" s="264" customFormat="1" outlineLevel="1" x14ac:dyDescent="0.25">
      <c r="A68" s="303"/>
      <c r="B68" s="266" t="s">
        <v>310</v>
      </c>
      <c r="C68" s="272">
        <f>C30/'Ipoteze de lucru'!$C$22</f>
        <v>0</v>
      </c>
      <c r="D68" s="251">
        <f>(C30+D13)/'Ipoteze de lucru'!$C$22</f>
        <v>0</v>
      </c>
      <c r="E68" s="251">
        <f>(D30+E13)/'Ipoteze de lucru'!$C$22</f>
        <v>0</v>
      </c>
      <c r="F68" s="251">
        <f>(E30+F13)/'Ipoteze de lucru'!$C$22</f>
        <v>0</v>
      </c>
      <c r="G68" s="251">
        <f>(F30+G13)/'Ipoteze de lucru'!$C$22</f>
        <v>9619.375</v>
      </c>
      <c r="H68" s="252">
        <f>((G30+H13))/'Ipoteze de lucru'!$C$22</f>
        <v>9679.5</v>
      </c>
      <c r="I68" s="252">
        <f>((H30+I13))/'Ipoteze de lucru'!$C$22</f>
        <v>10242</v>
      </c>
      <c r="J68" s="252">
        <f>((I30+J13))/'Ipoteze de lucru'!$C$22</f>
        <v>10429.625</v>
      </c>
      <c r="K68" s="252">
        <f>((J30+K13))/'Ipoteze de lucru'!$C$22</f>
        <v>10429.625</v>
      </c>
      <c r="L68" s="252">
        <f>((K30+L13))/'Ipoteze de lucru'!$C$22</f>
        <v>10586.424999999999</v>
      </c>
      <c r="M68" s="31"/>
      <c r="N68" s="403">
        <f t="shared" si="24"/>
        <v>10344.24393851539</v>
      </c>
      <c r="O68" s="387"/>
    </row>
    <row r="69" spans="1:15" outlineLevel="1" x14ac:dyDescent="0.25">
      <c r="B69" s="38" t="s">
        <v>311</v>
      </c>
      <c r="C69" s="238">
        <f>C31/'Ipoteze de lucru'!$C$22</f>
        <v>0</v>
      </c>
      <c r="D69" s="238">
        <f>(C31+D14)/'Ipoteze de lucru'!$C$22</f>
        <v>0</v>
      </c>
      <c r="E69" s="238">
        <f>(D31+E14)/'Ipoteze de lucru'!$C$22</f>
        <v>0</v>
      </c>
      <c r="F69" s="238">
        <f>(E31+F14)/'Ipoteze de lucru'!$C$22</f>
        <v>0</v>
      </c>
      <c r="G69" s="238">
        <f>(F31+G14)/'Ipoteze de lucru'!$C$22</f>
        <v>7788.15</v>
      </c>
      <c r="H69" s="238">
        <f>((G31+H14))/'Ipoteze de lucru'!$C$22</f>
        <v>7788.15</v>
      </c>
      <c r="I69" s="238">
        <f>((H31+I14))/'Ipoteze de lucru'!$C$22</f>
        <v>8210.4500000000007</v>
      </c>
      <c r="J69" s="238">
        <f>((I31+J14))/'Ipoteze de lucru'!$C$22</f>
        <v>8281.5249999999996</v>
      </c>
      <c r="K69" s="238">
        <f>((J31+K14))/'Ipoteze de lucru'!$C$22</f>
        <v>8281.5249999999996</v>
      </c>
      <c r="L69" s="238">
        <f>((K31+L14))/'Ipoteze de lucru'!$C$22</f>
        <v>8452.0750000000007</v>
      </c>
      <c r="N69" s="403">
        <f t="shared" si="24"/>
        <v>8256.9823395507028</v>
      </c>
      <c r="O69" s="387"/>
    </row>
    <row r="70" spans="1:15" s="264" customFormat="1" ht="22.5" outlineLevel="1" x14ac:dyDescent="0.25">
      <c r="A70" s="303"/>
      <c r="B70" s="266" t="s">
        <v>208</v>
      </c>
      <c r="C70" s="251">
        <f>C32/'Ipoteze de lucru'!$C$23</f>
        <v>24658.325000000001</v>
      </c>
      <c r="D70" s="251">
        <f>(C32+D15)/'Ipoteze de lucru'!$C$23</f>
        <v>38175.166140000001</v>
      </c>
      <c r="E70" s="251">
        <f>(D32+E15)/'Ipoteze de lucru'!$C$23</f>
        <v>143846.64390750002</v>
      </c>
      <c r="F70" s="251">
        <f>(E32+F15)/'Ipoteze de lucru'!$C$23</f>
        <v>152743.70398844618</v>
      </c>
      <c r="G70" s="251">
        <f>(F32+G15)/'Ipoteze de lucru'!$C$23</f>
        <v>175206.04838844616</v>
      </c>
      <c r="H70" s="252">
        <f>((G32+H15))/'Ipoteze de lucru'!$C$23</f>
        <v>181081.36548844617</v>
      </c>
      <c r="I70" s="252">
        <f>((H32+I15))/'Ipoteze de lucru'!$C$23</f>
        <v>183861.36548844617</v>
      </c>
      <c r="J70" s="252">
        <f>((I32+J15))/'Ipoteze de lucru'!$C$23</f>
        <v>186347.74048844617</v>
      </c>
      <c r="K70" s="252">
        <f>((J32+K15))/'Ipoteze de lucru'!$C$23</f>
        <v>187487.74048844617</v>
      </c>
      <c r="L70" s="252">
        <f>((K32+L15))/'Ipoteze de lucru'!$C$23</f>
        <v>234687.86548844617</v>
      </c>
      <c r="M70" s="31"/>
      <c r="N70" s="403">
        <f t="shared" si="24"/>
        <v>240496.70950969763</v>
      </c>
      <c r="O70" s="387"/>
    </row>
    <row r="71" spans="1:15" s="264" customFormat="1" outlineLevel="1" x14ac:dyDescent="0.25">
      <c r="A71" s="303"/>
      <c r="B71" s="266" t="s">
        <v>52</v>
      </c>
      <c r="C71" s="251">
        <f>C33/'Ipoteze de lucru'!$C$23</f>
        <v>0</v>
      </c>
      <c r="D71" s="251">
        <f>(C33+D16)/'Ipoteze de lucru'!$C$23</f>
        <v>-770.34114000000011</v>
      </c>
      <c r="E71" s="251">
        <f>(D33+E16)/'Ipoteze de lucru'!$C$23</f>
        <v>6155.6810925000009</v>
      </c>
      <c r="F71" s="251">
        <f>(E33+F16)/'Ipoteze de lucru'!$C$23</f>
        <v>74893.452998110864</v>
      </c>
      <c r="G71" s="251">
        <f>(F33+G16)/'Ipoteze de lucru'!$C$23</f>
        <v>92553.583598110854</v>
      </c>
      <c r="H71" s="252">
        <f>((G33+H16))/'Ipoteze de lucru'!$C$23</f>
        <v>93168.266498110868</v>
      </c>
      <c r="I71" s="252">
        <f>((H33+I16))/'Ipoteze de lucru'!$C$23</f>
        <v>93554.502238110857</v>
      </c>
      <c r="J71" s="252">
        <f>((I33+J16))/'Ipoteze de lucru'!$C$23</f>
        <v>94531.735488110862</v>
      </c>
      <c r="K71" s="252">
        <f>((J33+K16))/'Ipoteze de lucru'!$C$23</f>
        <v>95438.363604071346</v>
      </c>
      <c r="L71" s="252">
        <f>((K33+L16))/'Ipoteze de lucru'!$C$23</f>
        <v>97227.23156407135</v>
      </c>
      <c r="M71" s="31"/>
      <c r="N71" s="403">
        <f t="shared" si="24"/>
        <v>98788.390832404068</v>
      </c>
      <c r="O71" s="387"/>
    </row>
    <row r="72" spans="1:15" outlineLevel="1" x14ac:dyDescent="0.25">
      <c r="B72" s="105" t="s">
        <v>36</v>
      </c>
      <c r="C72" s="238">
        <f>C34/'Ipoteze de lucru'!$C$23</f>
        <v>0</v>
      </c>
      <c r="D72" s="238">
        <f>(C34+D17)/'Ipoteze de lucru'!$C$23</f>
        <v>-610.80679500000008</v>
      </c>
      <c r="E72" s="238">
        <f>(D34+E17)/'Ipoteze de lucru'!$C$23</f>
        <v>15274.198380000002</v>
      </c>
      <c r="F72" s="238">
        <f>(E34+F17)/'Ipoteze de lucru'!$C$23</f>
        <v>35666.4434425</v>
      </c>
      <c r="G72" s="238">
        <f>(F34+G17)/'Ipoteze de lucru'!$C$23</f>
        <v>63886.068642499995</v>
      </c>
      <c r="H72" s="238">
        <f>(G34+H17)/'Ipoteze de lucru'!$C$23</f>
        <v>64406.405892499999</v>
      </c>
      <c r="I72" s="238">
        <f>(H34+I17)/'Ipoteze de lucru'!$C$23</f>
        <v>64506.298277500005</v>
      </c>
      <c r="J72" s="238">
        <f>(I34+J17)/'Ipoteze de lucru'!$C$23</f>
        <v>64984.246902500003</v>
      </c>
      <c r="K72" s="238">
        <f>(J34+K17)/'Ipoteze de lucru'!$C$23</f>
        <v>65514.3858425</v>
      </c>
      <c r="L72" s="238">
        <f>(K34+L17)/'Ipoteze de lucru'!$C$23</f>
        <v>67678.7516225</v>
      </c>
      <c r="N72" s="403">
        <f t="shared" si="24"/>
        <v>67991.487452081317</v>
      </c>
      <c r="O72" s="387"/>
    </row>
    <row r="73" spans="1:15" outlineLevel="1" x14ac:dyDescent="0.25">
      <c r="B73" s="105" t="s">
        <v>37</v>
      </c>
      <c r="C73" s="238">
        <f>C35/'Ipoteze de lucru'!$C$23</f>
        <v>0</v>
      </c>
      <c r="D73" s="238">
        <f>(C35+D18)/'Ipoteze de lucru'!$C$23</f>
        <v>-159.534345</v>
      </c>
      <c r="E73" s="238">
        <f>(D35+E18)/'Ipoteze de lucru'!$C$23</f>
        <v>-9118.5172875000007</v>
      </c>
      <c r="F73" s="238">
        <f>(E35+F18)/'Ipoteze de lucru'!$C$23</f>
        <v>18879.804747499998</v>
      </c>
      <c r="G73" s="238">
        <f>(F35+G18)/'Ipoteze de lucru'!$C$23</f>
        <v>8320.3101474999967</v>
      </c>
      <c r="H73" s="238">
        <f>((G35+H18))/'Ipoteze de lucru'!$C$23</f>
        <v>8414.655797499996</v>
      </c>
      <c r="I73" s="238">
        <f>((H35+I18))/'Ipoteze de lucru'!$C$23</f>
        <v>8700.9991524999969</v>
      </c>
      <c r="J73" s="238">
        <f>((I35+J18))/'Ipoteze de lucru'!$C$23</f>
        <v>9200.2837774999971</v>
      </c>
      <c r="K73" s="238">
        <f>((J35+K18))/'Ipoteze de lucru'!$C$23</f>
        <v>9576.7729534604914</v>
      </c>
      <c r="L73" s="238">
        <f>((K35+L18))/'Ipoteze de lucru'!$C$23</f>
        <v>9201.2751334604927</v>
      </c>
      <c r="N73" s="403">
        <f t="shared" si="24"/>
        <v>9889.1373563000634</v>
      </c>
      <c r="O73" s="387"/>
    </row>
    <row r="74" spans="1:15" s="264" customFormat="1" outlineLevel="1" x14ac:dyDescent="0.25">
      <c r="A74" s="303"/>
      <c r="B74" s="266" t="s">
        <v>209</v>
      </c>
      <c r="C74" s="272">
        <f>C36/'Ipoteze de lucru'!$C$23</f>
        <v>0</v>
      </c>
      <c r="D74" s="272">
        <f>(C36+D19)/'Ipoteze de lucru'!$C$23</f>
        <v>0</v>
      </c>
      <c r="E74" s="272">
        <f>(D36+E19)/'Ipoteze de lucru'!$C$23</f>
        <v>0</v>
      </c>
      <c r="F74" s="272">
        <f>(E36+F19)/'Ipoteze de lucru'!$C$23</f>
        <v>0</v>
      </c>
      <c r="G74" s="272">
        <f>(F36+G19)/'Ipoteze de lucru'!$C$24</f>
        <v>2781.65</v>
      </c>
      <c r="H74" s="272">
        <f>((G36+H19))/'Ipoteze de lucru'!$C$24</f>
        <v>3961.65</v>
      </c>
      <c r="I74" s="272">
        <f>((H36+I19))/'Ipoteze de lucru'!$C$24</f>
        <v>4079.4</v>
      </c>
      <c r="J74" s="272">
        <f>((I36+J19))/'Ipoteze de lucru'!$C$24</f>
        <v>4155.5</v>
      </c>
      <c r="K74" s="272">
        <f>((J36+K19))/'Ipoteze de lucru'!$C$24</f>
        <v>4194.8999999999996</v>
      </c>
      <c r="L74" s="272">
        <f>((K36+L19))/'Ipoteze de lucru'!$C$24</f>
        <v>4230.8999999999996</v>
      </c>
      <c r="M74" s="31"/>
      <c r="N74" s="403">
        <f t="shared" si="24"/>
        <v>2343.091890352855</v>
      </c>
      <c r="O74" s="387"/>
    </row>
    <row r="75" spans="1:15" outlineLevel="1" x14ac:dyDescent="0.25">
      <c r="B75" s="33" t="s">
        <v>103</v>
      </c>
      <c r="C75" s="248">
        <f>C20*1/'Ipoteze de lucru'!$C$24</f>
        <v>0</v>
      </c>
      <c r="D75" s="248">
        <f>(C37+D20)*1/'Ipoteze de lucru'!$C$24</f>
        <v>0</v>
      </c>
      <c r="E75" s="248">
        <f>(D37+E20)*1/'Ipoteze de lucru'!$C$24</f>
        <v>0</v>
      </c>
      <c r="F75" s="248">
        <f>(E37+F20)*1/'Ipoteze de lucru'!$C$24</f>
        <v>0</v>
      </c>
      <c r="G75" s="248">
        <f>(F37+G20)*1/'Ipoteze de lucru'!$C$24</f>
        <v>1660.35</v>
      </c>
      <c r="H75" s="249">
        <f>(G37+H20)/'Ipoteze de lucru'!$C$24</f>
        <v>1660.35</v>
      </c>
      <c r="I75" s="249">
        <f>(H37+I20)/'Ipoteze de lucru'!$C$24</f>
        <v>1660.35</v>
      </c>
      <c r="J75" s="249">
        <f>(I37+J20)/'Ipoteze de lucru'!$C$24</f>
        <v>1660.35</v>
      </c>
      <c r="K75" s="249">
        <f>(J37+K20)/'Ipoteze de lucru'!$C$24</f>
        <v>1660.35</v>
      </c>
      <c r="L75" s="249">
        <f>(K37+L20)/'Ipoteze de lucru'!$C$24</f>
        <v>1660.35</v>
      </c>
      <c r="N75" s="403">
        <f t="shared" si="24"/>
        <v>917.51832503673211</v>
      </c>
      <c r="O75" s="387"/>
    </row>
    <row r="76" spans="1:15" outlineLevel="1" x14ac:dyDescent="0.25">
      <c r="B76" s="88" t="s">
        <v>122</v>
      </c>
      <c r="C76" s="248">
        <f>C21*1/'Ipoteze de lucru'!$C$22</f>
        <v>0</v>
      </c>
      <c r="D76" s="248">
        <f>(C38+D21)*1/'Ipoteze de lucru'!$C$22</f>
        <v>0</v>
      </c>
      <c r="E76" s="248">
        <f>(D38+E21)*1/'Ipoteze de lucru'!$C$22</f>
        <v>0</v>
      </c>
      <c r="F76" s="248">
        <f>(E38+F21)*1/'Ipoteze de lucru'!$C$22</f>
        <v>0</v>
      </c>
      <c r="G76" s="248">
        <f>(F38+G21)*1/'Ipoteze de lucru'!$C$22</f>
        <v>0</v>
      </c>
      <c r="H76" s="249">
        <f>((G38+H21))*1/'Ipoteze de lucru'!$C$22</f>
        <v>11330</v>
      </c>
      <c r="I76" s="249">
        <f>((H38+I21))*1/'Ipoteze de lucru'!$C$22</f>
        <v>11330</v>
      </c>
      <c r="J76" s="249">
        <f>((I38+J21))*1/'Ipoteze de lucru'!$C$22</f>
        <v>11330</v>
      </c>
      <c r="K76" s="249">
        <f>((J38+K21))*1/'Ipoteze de lucru'!$C$22</f>
        <v>11330</v>
      </c>
      <c r="L76" s="249">
        <f>((K38+L21))*1/'Ipoteze de lucru'!$C$22</f>
        <v>18869.724999999999</v>
      </c>
      <c r="N76" s="403">
        <f t="shared" si="24"/>
        <v>18352.447142771405</v>
      </c>
      <c r="O76" s="387"/>
    </row>
    <row r="77" spans="1:15" x14ac:dyDescent="0.25">
      <c r="B77" s="32" t="s">
        <v>33</v>
      </c>
      <c r="C77" s="250"/>
      <c r="D77" s="250"/>
      <c r="E77" s="250"/>
      <c r="F77" s="250"/>
      <c r="G77" s="252">
        <f>OPEX!D27</f>
        <v>58904</v>
      </c>
      <c r="H77" s="252">
        <f>G77</f>
        <v>58904</v>
      </c>
      <c r="I77" s="252">
        <f t="shared" ref="I77:L77" si="25">H77</f>
        <v>58904</v>
      </c>
      <c r="J77" s="252">
        <f t="shared" si="25"/>
        <v>58904</v>
      </c>
      <c r="K77" s="252">
        <f t="shared" si="25"/>
        <v>58904</v>
      </c>
      <c r="L77" s="252">
        <f t="shared" si="25"/>
        <v>58904</v>
      </c>
      <c r="N77" s="403"/>
      <c r="O77" s="387"/>
    </row>
    <row r="78" spans="1:15" x14ac:dyDescent="0.25">
      <c r="B78" s="42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N78" s="208"/>
    </row>
    <row r="79" spans="1:15" x14ac:dyDescent="0.25">
      <c r="B79" s="80" t="s">
        <v>319</v>
      </c>
      <c r="C79" s="253" t="str">
        <f>IF($B$140="ROMANA","Final 2008","end 2008")</f>
        <v>end 2008</v>
      </c>
      <c r="D79" s="253" t="str">
        <f>IF($B$140="ROMANA","Final 2009","end 2009")</f>
        <v>end 2009</v>
      </c>
      <c r="E79" s="253" t="str">
        <f>IF($B$140="ROMANA","Final 2010","end 2010")</f>
        <v>end 2010</v>
      </c>
      <c r="F79" s="253" t="str">
        <f>IF($B$140="ROMANA","Final 2011","end 2011")</f>
        <v>end 2011</v>
      </c>
      <c r="G79" s="253" t="str">
        <f>IF($B$140="ROMANA","Final 2012","end 2012")</f>
        <v>end 2012</v>
      </c>
      <c r="H79" s="253" t="s">
        <v>119</v>
      </c>
      <c r="I79" s="253"/>
      <c r="J79" s="253"/>
      <c r="K79" s="253"/>
      <c r="L79" s="253"/>
      <c r="N79" s="208"/>
    </row>
    <row r="80" spans="1:15" x14ac:dyDescent="0.25">
      <c r="B80" s="36" t="s">
        <v>100</v>
      </c>
      <c r="C80" s="248">
        <v>0</v>
      </c>
      <c r="D80" s="248">
        <v>0</v>
      </c>
      <c r="E80" s="407">
        <v>167522</v>
      </c>
      <c r="F80" s="407">
        <v>1422832</v>
      </c>
      <c r="G80" s="407">
        <v>303222</v>
      </c>
      <c r="H80" s="249">
        <f>'CAPEX 2013'!H8</f>
        <v>15300</v>
      </c>
      <c r="I80" s="249"/>
      <c r="J80" s="249"/>
      <c r="K80" s="249"/>
      <c r="L80" s="249"/>
      <c r="N80" s="208"/>
    </row>
    <row r="81" spans="2:14" x14ac:dyDescent="0.25">
      <c r="B81" s="36" t="s">
        <v>53</v>
      </c>
      <c r="C81" s="541" t="s">
        <v>54</v>
      </c>
      <c r="D81" s="542"/>
      <c r="E81" s="542"/>
      <c r="F81" s="542"/>
      <c r="G81" s="543"/>
      <c r="H81" s="254"/>
      <c r="I81" s="254"/>
      <c r="J81" s="254"/>
      <c r="K81" s="254"/>
      <c r="L81" s="254"/>
      <c r="N81" s="208"/>
    </row>
    <row r="82" spans="2:14" x14ac:dyDescent="0.25">
      <c r="B82" s="39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N82" s="208"/>
    </row>
    <row r="83" spans="2:14" ht="15" customHeight="1" x14ac:dyDescent="0.25">
      <c r="B83" s="80" t="s">
        <v>91</v>
      </c>
      <c r="C83" s="253" t="str">
        <f>IF($B$140="ROMANA","Final 2008","end 2008")</f>
        <v>end 2008</v>
      </c>
      <c r="D83" s="253" t="str">
        <f>IF($B$140="ROMANA","Final 2009","end 2009")</f>
        <v>end 2009</v>
      </c>
      <c r="E83" s="253" t="str">
        <f>IF($B$140="ROMANA","Final 2010","end 2010")</f>
        <v>end 2010</v>
      </c>
      <c r="F83" s="253" t="str">
        <f>IF($B$140="ROMANA","Final 2011*","end 2011")</f>
        <v>end 2011</v>
      </c>
      <c r="G83" s="253" t="str">
        <f>IF($B$140="ROMANA","Final 2012","end 2012")</f>
        <v>end 2012</v>
      </c>
      <c r="H83" s="253" t="s">
        <v>119</v>
      </c>
      <c r="I83" s="253"/>
      <c r="J83" s="253"/>
      <c r="K83" s="253"/>
      <c r="L83" s="253"/>
      <c r="N83" s="208"/>
    </row>
    <row r="84" spans="2:14" ht="15" customHeight="1" x14ac:dyDescent="0.25">
      <c r="B84" s="106" t="s">
        <v>75</v>
      </c>
      <c r="C84" s="248">
        <v>0</v>
      </c>
      <c r="D84" s="248">
        <v>0</v>
      </c>
      <c r="E84" s="248">
        <v>0</v>
      </c>
      <c r="F84" s="249">
        <f>'Capacitati 2017'!E36</f>
        <v>5345426.0505032642</v>
      </c>
      <c r="G84" s="249"/>
      <c r="H84" s="249"/>
      <c r="I84" s="249"/>
      <c r="J84" s="249"/>
      <c r="K84" s="249"/>
      <c r="L84" s="249"/>
    </row>
    <row r="85" spans="2:14" ht="15" customHeight="1" x14ac:dyDescent="0.25">
      <c r="B85" s="106" t="s">
        <v>90</v>
      </c>
      <c r="C85" s="248">
        <v>0</v>
      </c>
      <c r="D85" s="248">
        <v>0</v>
      </c>
      <c r="E85" s="248">
        <v>0</v>
      </c>
      <c r="F85" s="249">
        <f>'Capacitati 2017'!E31</f>
        <v>3856380.6700344551</v>
      </c>
      <c r="G85" s="249"/>
      <c r="H85" s="249"/>
      <c r="I85" s="249"/>
      <c r="J85" s="249"/>
      <c r="K85" s="249"/>
      <c r="L85" s="249"/>
    </row>
    <row r="86" spans="2:14" x14ac:dyDescent="0.25">
      <c r="B86" s="39"/>
      <c r="C86" s="254"/>
      <c r="D86" s="254"/>
      <c r="E86" s="254"/>
      <c r="F86" s="254"/>
      <c r="G86" s="254"/>
      <c r="H86" s="254"/>
      <c r="I86" s="254"/>
      <c r="J86" s="254"/>
      <c r="K86" s="254"/>
      <c r="L86" s="254"/>
    </row>
    <row r="87" spans="2:14" x14ac:dyDescent="0.25">
      <c r="B87" s="39"/>
      <c r="C87" s="255"/>
      <c r="D87" s="255"/>
      <c r="E87" s="255"/>
      <c r="F87" s="255"/>
      <c r="G87" s="255"/>
      <c r="H87" s="255"/>
      <c r="I87" s="255"/>
      <c r="J87" s="255"/>
      <c r="K87" s="255"/>
      <c r="L87" s="255"/>
    </row>
    <row r="88" spans="2:14" ht="15.75" thickBot="1" x14ac:dyDescent="0.3">
      <c r="B88" s="39"/>
      <c r="C88" s="263" t="str">
        <f>IF($B$140="ROMANA","Final 2011","end 2011")</f>
        <v>end 2011</v>
      </c>
      <c r="D88" s="263" t="str">
        <f>IF($B$140="ROMANA","Final 2012","end 2012")</f>
        <v>end 2012</v>
      </c>
      <c r="E88" s="263" t="s">
        <v>119</v>
      </c>
      <c r="F88" s="255"/>
      <c r="G88" s="255"/>
      <c r="H88" s="255"/>
      <c r="I88" s="255"/>
      <c r="J88" s="255"/>
      <c r="K88" s="255"/>
      <c r="L88" s="255"/>
    </row>
    <row r="89" spans="2:14" ht="15.75" thickBot="1" x14ac:dyDescent="0.3">
      <c r="B89" s="81" t="s">
        <v>35</v>
      </c>
      <c r="C89" s="405">
        <v>744832</v>
      </c>
      <c r="D89" s="405">
        <v>801555</v>
      </c>
      <c r="E89" s="256"/>
      <c r="F89" s="257"/>
      <c r="G89" s="257"/>
      <c r="H89" s="257"/>
      <c r="I89" s="257"/>
      <c r="J89" s="257"/>
      <c r="K89" s="257"/>
      <c r="L89" s="257"/>
    </row>
    <row r="90" spans="2:14" x14ac:dyDescent="0.25">
      <c r="B90" s="39"/>
      <c r="C90" s="258"/>
      <c r="D90" s="258"/>
      <c r="E90" s="258"/>
      <c r="F90" s="258"/>
      <c r="G90" s="258"/>
      <c r="H90" s="258"/>
      <c r="I90" s="258"/>
      <c r="J90" s="258"/>
      <c r="K90" s="258"/>
      <c r="L90" s="258"/>
    </row>
    <row r="91" spans="2:14" x14ac:dyDescent="0.25">
      <c r="B91" s="39"/>
      <c r="C91" s="258"/>
      <c r="D91" s="258"/>
      <c r="E91" s="258"/>
      <c r="F91" s="258"/>
      <c r="G91" s="258"/>
      <c r="H91" s="258"/>
      <c r="I91" s="258"/>
      <c r="J91" s="258"/>
      <c r="K91" s="258"/>
      <c r="L91" s="258"/>
    </row>
    <row r="92" spans="2:14" x14ac:dyDescent="0.25">
      <c r="B92" s="177"/>
    </row>
    <row r="93" spans="2:14" x14ac:dyDescent="0.25">
      <c r="B93" s="35"/>
      <c r="C93" s="259"/>
      <c r="D93" s="259"/>
      <c r="E93" s="259"/>
      <c r="F93" s="259"/>
      <c r="G93" s="260"/>
      <c r="H93" s="260"/>
      <c r="I93" s="260"/>
      <c r="J93" s="260"/>
      <c r="K93" s="260"/>
      <c r="L93" s="260"/>
    </row>
    <row r="94" spans="2:14" ht="31.5" customHeight="1" x14ac:dyDescent="0.25">
      <c r="H94" s="261"/>
      <c r="I94" s="309"/>
      <c r="J94" s="308"/>
      <c r="K94" s="261"/>
      <c r="L94" s="261"/>
    </row>
  </sheetData>
  <mergeCells count="1">
    <mergeCell ref="C81:G81"/>
  </mergeCells>
  <pageMargins left="0.7" right="0.7" top="0.75" bottom="0.75" header="0.3" footer="0.3"/>
  <pageSetup paperSize="9" scale="4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1:I88"/>
  <sheetViews>
    <sheetView zoomScale="115" zoomScaleNormal="115" workbookViewId="0">
      <selection activeCell="G11" sqref="G11"/>
    </sheetView>
  </sheetViews>
  <sheetFormatPr defaultColWidth="9.140625" defaultRowHeight="11.25" customHeight="1" x14ac:dyDescent="0.2"/>
  <cols>
    <col min="1" max="1" width="2.42578125" style="1" customWidth="1"/>
    <col min="2" max="2" width="39.42578125" style="2" customWidth="1"/>
    <col min="3" max="3" width="14.42578125" style="1" customWidth="1"/>
    <col min="4" max="4" width="14.5703125" style="1" customWidth="1"/>
    <col min="5" max="5" width="17.140625" style="1" customWidth="1"/>
    <col min="6" max="6" width="14.5703125" style="1" customWidth="1"/>
    <col min="7" max="7" width="14.140625" style="1" bestFit="1" customWidth="1"/>
    <col min="8" max="8" width="1.140625" style="1" customWidth="1"/>
    <col min="9" max="16384" width="9.140625" style="1"/>
  </cols>
  <sheetData>
    <row r="1" spans="2:9" s="2" customFormat="1" ht="11.25" customHeight="1" x14ac:dyDescent="0.2">
      <c r="B1" s="4" t="s">
        <v>275</v>
      </c>
      <c r="C1" s="529">
        <f>1/'Ipoteze de lucru'!C15</f>
        <v>0.22629554197782306</v>
      </c>
      <c r="D1" s="530">
        <f>1/'Ipoteze de lucru'!C19</f>
        <v>0.21890939340207086</v>
      </c>
      <c r="E1" s="2">
        <v>2</v>
      </c>
    </row>
    <row r="2" spans="2:9" s="270" customFormat="1" ht="11.25" customHeight="1" x14ac:dyDescent="0.2">
      <c r="B2" s="295"/>
      <c r="C2" s="296" t="s">
        <v>125</v>
      </c>
      <c r="D2" s="296" t="s">
        <v>210</v>
      </c>
      <c r="E2" s="296" t="s">
        <v>229</v>
      </c>
      <c r="F2" s="297" t="s">
        <v>24</v>
      </c>
      <c r="G2" s="298" t="s">
        <v>23</v>
      </c>
    </row>
    <row r="3" spans="2:9" s="2" customFormat="1" ht="11.25" customHeight="1" x14ac:dyDescent="0.2">
      <c r="B3" s="299" t="s">
        <v>19</v>
      </c>
      <c r="C3" s="9">
        <f>OPEX!C14</f>
        <v>802557</v>
      </c>
      <c r="D3" s="9">
        <f>OPEX!D14</f>
        <v>2013340</v>
      </c>
      <c r="E3" s="9">
        <f t="shared" ref="E3:E11" si="0">SUMPRODUCT(C3:D3,$C$1:$D$1)/$E$1</f>
        <v>311177.05469761055</v>
      </c>
      <c r="F3" s="9">
        <f t="shared" ref="F3:F14" si="1">E3</f>
        <v>311177.05469761055</v>
      </c>
      <c r="G3" s="9">
        <f>F3/12</f>
        <v>25931.421224800881</v>
      </c>
    </row>
    <row r="4" spans="2:9" s="2" customFormat="1" ht="11.25" customHeight="1" x14ac:dyDescent="0.2">
      <c r="B4" s="299" t="s">
        <v>249</v>
      </c>
      <c r="C4" s="9">
        <f>OPEX!C45</f>
        <v>207999</v>
      </c>
      <c r="D4" s="9">
        <f>OPEX!D45</f>
        <v>0</v>
      </c>
      <c r="E4" s="9">
        <f t="shared" si="0"/>
        <v>23534.62321792261</v>
      </c>
      <c r="F4" s="9">
        <f t="shared" si="1"/>
        <v>23534.62321792261</v>
      </c>
      <c r="G4" s="9">
        <f t="shared" ref="G4:G13" si="2">F4/12</f>
        <v>1961.2186014935508</v>
      </c>
    </row>
    <row r="5" spans="2:9" s="2" customFormat="1" ht="11.25" customHeight="1" x14ac:dyDescent="0.2">
      <c r="B5" s="299" t="s">
        <v>20</v>
      </c>
      <c r="C5" s="9">
        <f>OPEX!C4</f>
        <v>322500</v>
      </c>
      <c r="D5" s="9">
        <f>OPEX!D4</f>
        <v>89207</v>
      </c>
      <c r="E5" s="9">
        <f t="shared" si="0"/>
        <v>46254.281272533233</v>
      </c>
      <c r="F5" s="9">
        <f t="shared" si="1"/>
        <v>46254.281272533233</v>
      </c>
      <c r="G5" s="9">
        <f t="shared" si="2"/>
        <v>3854.5234393777696</v>
      </c>
    </row>
    <row r="6" spans="2:9" s="2" customFormat="1" ht="11.25" customHeight="1" x14ac:dyDescent="0.2">
      <c r="B6" s="299" t="s">
        <v>21</v>
      </c>
      <c r="C6" s="9">
        <f>OPEX!C17</f>
        <v>450600</v>
      </c>
      <c r="D6" s="9">
        <f>OPEX!D17</f>
        <v>168201</v>
      </c>
      <c r="E6" s="9">
        <f t="shared" si="0"/>
        <v>69394.775047414398</v>
      </c>
      <c r="F6" s="9">
        <f t="shared" si="1"/>
        <v>69394.775047414398</v>
      </c>
      <c r="G6" s="9">
        <f t="shared" si="2"/>
        <v>5782.8979206178665</v>
      </c>
    </row>
    <row r="7" spans="2:9" s="2" customFormat="1" ht="11.25" customHeight="1" x14ac:dyDescent="0.2">
      <c r="B7" s="299" t="s">
        <v>22</v>
      </c>
      <c r="C7" s="9">
        <f>OPEX!C52</f>
        <v>244682</v>
      </c>
      <c r="D7" s="9">
        <f>OPEX!D52</f>
        <v>63999</v>
      </c>
      <c r="E7" s="9">
        <f t="shared" si="0"/>
        <v>34690.214035278419</v>
      </c>
      <c r="F7" s="9">
        <f t="shared" si="1"/>
        <v>34690.214035278419</v>
      </c>
      <c r="G7" s="9">
        <f t="shared" si="2"/>
        <v>2890.8511696065348</v>
      </c>
    </row>
    <row r="8" spans="2:9" s="2" customFormat="1" ht="11.25" customHeight="1" x14ac:dyDescent="0.2">
      <c r="B8" s="299" t="s">
        <v>141</v>
      </c>
      <c r="C8" s="374">
        <f>OPEX!C51-C7</f>
        <v>996300</v>
      </c>
      <c r="D8" s="9">
        <f>OPEX!D51-D7</f>
        <v>111006</v>
      </c>
      <c r="E8" s="9">
        <f t="shared" si="0"/>
        <v>124879.25229824769</v>
      </c>
      <c r="F8" s="9">
        <f t="shared" si="1"/>
        <v>124879.25229824769</v>
      </c>
      <c r="G8" s="9">
        <f t="shared" si="2"/>
        <v>10406.604358187307</v>
      </c>
    </row>
    <row r="9" spans="2:9" s="2" customFormat="1" ht="11.25" customHeight="1" x14ac:dyDescent="0.2">
      <c r="B9" s="299" t="s">
        <v>126</v>
      </c>
      <c r="C9" s="335">
        <f>OPEX!C50</f>
        <v>87200</v>
      </c>
      <c r="D9" s="9">
        <f>OPEX!D50</f>
        <v>0</v>
      </c>
      <c r="E9" s="9">
        <f t="shared" si="0"/>
        <v>9866.4856302330863</v>
      </c>
      <c r="F9" s="9">
        <f t="shared" si="1"/>
        <v>9866.4856302330863</v>
      </c>
      <c r="G9" s="9">
        <f t="shared" si="2"/>
        <v>822.20713585275723</v>
      </c>
      <c r="I9" s="384"/>
    </row>
    <row r="10" spans="2:9" s="2" customFormat="1" ht="11.25" customHeight="1" x14ac:dyDescent="0.2">
      <c r="B10" s="299" t="s">
        <v>152</v>
      </c>
      <c r="C10" s="9">
        <f>OPEX!C46</f>
        <v>3131847</v>
      </c>
      <c r="D10" s="9">
        <f>OPEX!D46</f>
        <v>511309</v>
      </c>
      <c r="E10" s="9">
        <f t="shared" si="0"/>
        <v>410326.67864381935</v>
      </c>
      <c r="F10" s="9">
        <f t="shared" si="1"/>
        <v>410326.67864381935</v>
      </c>
      <c r="G10" s="335">
        <v>0</v>
      </c>
      <c r="I10" s="384"/>
    </row>
    <row r="11" spans="2:9" s="2" customFormat="1" ht="11.25" customHeight="1" x14ac:dyDescent="0.2">
      <c r="B11" s="299" t="s">
        <v>228</v>
      </c>
      <c r="C11" s="9">
        <f>OPEX!C21+OPEX!C46-C10</f>
        <v>9026243</v>
      </c>
      <c r="D11" s="9">
        <f>OPEX!D21+OPEX!D46-D10</f>
        <v>3556243</v>
      </c>
      <c r="E11" s="9">
        <f t="shared" si="0"/>
        <v>1410546.774814446</v>
      </c>
      <c r="F11" s="9">
        <f t="shared" si="1"/>
        <v>1410546.774814446</v>
      </c>
      <c r="G11" s="335">
        <f>OPEX!I56</f>
        <v>87126.516194001961</v>
      </c>
    </row>
    <row r="12" spans="2:9" s="2" customFormat="1" ht="11.25" customHeight="1" x14ac:dyDescent="0.2">
      <c r="B12" s="299" t="s">
        <v>18</v>
      </c>
      <c r="C12" s="9">
        <f>OPEX!C6+OPEX!C19</f>
        <v>19311611</v>
      </c>
      <c r="D12" s="9">
        <f>OPEX!D6+OPEX!D19</f>
        <v>15026289</v>
      </c>
      <c r="E12" s="9">
        <f>SUMPRODUCT(C12:D12,$C$1:$D$1)/$E$1</f>
        <v>3829763.6438920498</v>
      </c>
      <c r="F12" s="9">
        <f t="shared" si="1"/>
        <v>3829763.6438920498</v>
      </c>
      <c r="G12" s="9">
        <f t="shared" si="2"/>
        <v>319146.97032433748</v>
      </c>
    </row>
    <row r="13" spans="2:9" s="301" customFormat="1" ht="11.25" customHeight="1" x14ac:dyDescent="0.2">
      <c r="B13" s="294"/>
      <c r="C13" s="300">
        <f>SUM(C3:C12)</f>
        <v>34581539</v>
      </c>
      <c r="D13" s="300">
        <f>SUM(D3:D12)</f>
        <v>21539594</v>
      </c>
      <c r="E13" s="300">
        <f t="shared" ref="E13" si="3">SUMPRODUCT(C13:D13,$C$1:$D$1)/$E$1</f>
        <v>6270433.7835495546</v>
      </c>
      <c r="F13" s="300">
        <f t="shared" si="1"/>
        <v>6270433.7835495546</v>
      </c>
      <c r="G13" s="300">
        <f t="shared" si="2"/>
        <v>522536.14862912957</v>
      </c>
    </row>
    <row r="14" spans="2:9" ht="11.25" customHeight="1" x14ac:dyDescent="0.2">
      <c r="B14" s="299" t="s">
        <v>197</v>
      </c>
      <c r="C14" s="9">
        <f>OPEX!C54</f>
        <v>0</v>
      </c>
      <c r="D14" s="9">
        <f>OPEX!D54</f>
        <v>0</v>
      </c>
      <c r="E14" s="9">
        <f>SUMPRODUCT(D14:D14,$D$1:$D$1)/$E$1</f>
        <v>0</v>
      </c>
      <c r="F14" s="9">
        <f t="shared" si="1"/>
        <v>0</v>
      </c>
      <c r="G14" s="9"/>
    </row>
    <row r="15" spans="2:9" ht="11.25" customHeight="1" x14ac:dyDescent="0.2">
      <c r="B15" s="299" t="s">
        <v>198</v>
      </c>
      <c r="C15" s="9">
        <f>C14+C13</f>
        <v>34581539</v>
      </c>
      <c r="D15" s="9">
        <f>D14+D13</f>
        <v>21539594</v>
      </c>
      <c r="E15" s="9">
        <f>E14+E13</f>
        <v>6270433.7835495546</v>
      </c>
      <c r="F15" s="9">
        <f>F14+F13</f>
        <v>6270433.7835495546</v>
      </c>
      <c r="G15" s="9">
        <f t="shared" ref="G15" si="4">G14+G13</f>
        <v>522536.14862912957</v>
      </c>
    </row>
    <row r="17" spans="3:7" ht="11.25" customHeight="1" x14ac:dyDescent="0.2">
      <c r="C17" s="30"/>
      <c r="D17" s="30"/>
      <c r="G17" s="30"/>
    </row>
    <row r="88" spans="2:2" ht="11.25" hidden="1" customHeight="1" thickBot="1" x14ac:dyDescent="0.25">
      <c r="B88" s="41" t="e">
        <f>Sumar!#REF!</f>
        <v>#REF!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L44"/>
  <sheetViews>
    <sheetView topLeftCell="A7" zoomScale="115" zoomScaleNormal="115" workbookViewId="0">
      <selection activeCell="C27" sqref="C27"/>
    </sheetView>
  </sheetViews>
  <sheetFormatPr defaultColWidth="9.140625" defaultRowHeight="11.25" x14ac:dyDescent="0.2"/>
  <cols>
    <col min="1" max="1" width="3.42578125" style="1" customWidth="1"/>
    <col min="2" max="2" width="64.85546875" style="1" bestFit="1" customWidth="1"/>
    <col min="3" max="3" width="12.5703125" style="24" bestFit="1" customWidth="1"/>
    <col min="4" max="4" width="8.140625" style="12" bestFit="1" customWidth="1"/>
    <col min="5" max="5" width="8.85546875" style="17" bestFit="1" customWidth="1"/>
    <col min="6" max="6" width="3.5703125" style="17" bestFit="1" customWidth="1"/>
    <col min="7" max="7" width="8" style="1" bestFit="1" customWidth="1"/>
    <col min="8" max="8" width="3.5703125" style="1" bestFit="1" customWidth="1"/>
    <col min="9" max="9" width="9.140625" style="1"/>
    <col min="10" max="10" width="10" style="1" bestFit="1" customWidth="1"/>
    <col min="11" max="16384" width="9.140625" style="1"/>
  </cols>
  <sheetData>
    <row r="2" spans="2:12" x14ac:dyDescent="0.2">
      <c r="B2" s="186" t="s">
        <v>201</v>
      </c>
    </row>
    <row r="4" spans="2:12" x14ac:dyDescent="0.2">
      <c r="B4" s="212" t="s">
        <v>151</v>
      </c>
      <c r="C4" s="55" t="s">
        <v>25</v>
      </c>
      <c r="D4" s="140" t="s">
        <v>26</v>
      </c>
      <c r="E4" s="140" t="s">
        <v>36</v>
      </c>
      <c r="F4" s="140" t="s">
        <v>66</v>
      </c>
      <c r="G4" s="140" t="s">
        <v>37</v>
      </c>
      <c r="H4" s="140" t="s">
        <v>66</v>
      </c>
    </row>
    <row r="5" spans="2:12" x14ac:dyDescent="0.2">
      <c r="B5" s="46" t="s">
        <v>127</v>
      </c>
      <c r="C5" s="58" t="s">
        <v>4</v>
      </c>
      <c r="D5" s="201">
        <f>E5+G5</f>
        <v>16700540</v>
      </c>
      <c r="E5" s="201">
        <f>'Capacitati 2017'!C12</f>
        <v>14300040</v>
      </c>
      <c r="F5" s="202">
        <f>E5/D5</f>
        <v>0.85626213284121355</v>
      </c>
      <c r="G5" s="201">
        <f>'Capacitati 2017'!D12</f>
        <v>2400500</v>
      </c>
      <c r="H5" s="162">
        <f>G5/D5</f>
        <v>0.14373786715878648</v>
      </c>
    </row>
    <row r="6" spans="2:12" x14ac:dyDescent="0.2">
      <c r="B6" s="46" t="s">
        <v>145</v>
      </c>
      <c r="C6" s="58" t="s">
        <v>4</v>
      </c>
      <c r="D6" s="201">
        <f>E17*8+G17</f>
        <v>5295412</v>
      </c>
      <c r="E6" s="201">
        <f>E17*8</f>
        <v>4988408</v>
      </c>
      <c r="F6" s="202"/>
      <c r="G6" s="201">
        <f>G17</f>
        <v>307004</v>
      </c>
      <c r="H6" s="147"/>
    </row>
    <row r="7" spans="2:12" x14ac:dyDescent="0.2">
      <c r="B7" s="46" t="s">
        <v>153</v>
      </c>
      <c r="C7" s="58" t="s">
        <v>4</v>
      </c>
      <c r="D7" s="201">
        <f>E17+G17-D20</f>
        <v>885255</v>
      </c>
      <c r="E7" s="201">
        <f>E17</f>
        <v>623551</v>
      </c>
      <c r="F7" s="202"/>
      <c r="G7" s="201">
        <f>G17-D20</f>
        <v>261704</v>
      </c>
      <c r="H7" s="147"/>
    </row>
    <row r="8" spans="2:12" x14ac:dyDescent="0.2">
      <c r="B8" s="46" t="s">
        <v>147</v>
      </c>
      <c r="C8" s="58" t="s">
        <v>4</v>
      </c>
      <c r="D8" s="201">
        <f>'Capacitati 2017'!E23*C24</f>
        <v>680228.87324311433</v>
      </c>
      <c r="E8" s="201">
        <f>'Capacitati 2017'!C23*'4. Capacitati de retea'!C24</f>
        <v>531023.3715905404</v>
      </c>
      <c r="F8" s="202"/>
      <c r="G8" s="201">
        <f>'Capacitati 2017'!D23*'4. Capacitati de retea'!C24</f>
        <v>149205.5016525739</v>
      </c>
      <c r="H8" s="162"/>
      <c r="J8" s="30"/>
    </row>
    <row r="9" spans="2:12" x14ac:dyDescent="0.2">
      <c r="B9" s="46" t="s">
        <v>146</v>
      </c>
      <c r="C9" s="58" t="s">
        <v>4</v>
      </c>
      <c r="D9" s="201">
        <f>D5*25%</f>
        <v>4175135</v>
      </c>
      <c r="E9" s="201">
        <f>E5*25%</f>
        <v>3575010</v>
      </c>
      <c r="F9" s="202"/>
      <c r="G9" s="201">
        <f>G5*25%</f>
        <v>600125</v>
      </c>
      <c r="H9" s="162"/>
      <c r="J9" s="30"/>
    </row>
    <row r="10" spans="2:12" ht="12" thickBot="1" x14ac:dyDescent="0.25">
      <c r="B10" s="46" t="s">
        <v>200</v>
      </c>
      <c r="C10" s="60" t="s">
        <v>4</v>
      </c>
      <c r="D10" s="203">
        <f>E10+G10</f>
        <v>5210937.8732431149</v>
      </c>
      <c r="E10" s="203">
        <f>'Capacitati 2017'!C22+'Capacitati 2017'!C23*'4. Capacitati de retea'!C24</f>
        <v>4591223.3715905407</v>
      </c>
      <c r="F10" s="204">
        <f>E10/D10</f>
        <v>0.88107428706170998</v>
      </c>
      <c r="G10" s="203">
        <f>'Capacitati 2017'!D22+'Capacitati 2017'!D23*'4. Capacitati de retea'!C24</f>
        <v>619714.50165257393</v>
      </c>
      <c r="H10" s="161">
        <f>G10/D10</f>
        <v>0.11892571293828998</v>
      </c>
      <c r="J10" s="232"/>
      <c r="L10" s="232">
        <f>J10*K10</f>
        <v>0</v>
      </c>
    </row>
    <row r="11" spans="2:12" x14ac:dyDescent="0.2">
      <c r="B11" s="145"/>
      <c r="C11" s="26"/>
      <c r="D11" s="144"/>
      <c r="E11" s="144"/>
      <c r="F11" s="160"/>
      <c r="G11" s="144"/>
      <c r="H11" s="160"/>
    </row>
    <row r="12" spans="2:12" ht="12" thickBot="1" x14ac:dyDescent="0.25">
      <c r="B12" s="54" t="s">
        <v>75</v>
      </c>
      <c r="C12" s="55" t="s">
        <v>25</v>
      </c>
      <c r="D12" s="140" t="s">
        <v>26</v>
      </c>
      <c r="E12" s="140" t="s">
        <v>36</v>
      </c>
      <c r="F12" s="140" t="s">
        <v>66</v>
      </c>
      <c r="G12" s="140" t="s">
        <v>37</v>
      </c>
      <c r="H12" s="140" t="s">
        <v>66</v>
      </c>
    </row>
    <row r="13" spans="2:12" x14ac:dyDescent="0.2">
      <c r="B13" s="146" t="s">
        <v>76</v>
      </c>
      <c r="C13" s="56" t="s">
        <v>4</v>
      </c>
      <c r="D13" s="200">
        <f>E13+G13</f>
        <v>3465607</v>
      </c>
      <c r="E13" s="200">
        <f>'Capacitati 2017'!C11</f>
        <v>2566300</v>
      </c>
      <c r="F13" s="202">
        <f>E13/D13</f>
        <v>0.74050519865639697</v>
      </c>
      <c r="G13" s="200">
        <f>'Capacitati 2017'!D11</f>
        <v>899307</v>
      </c>
      <c r="H13" s="209">
        <f>G13/D13</f>
        <v>0.25949480134360303</v>
      </c>
    </row>
    <row r="14" spans="2:12" x14ac:dyDescent="0.2">
      <c r="B14" s="146" t="s">
        <v>148</v>
      </c>
      <c r="C14" s="58" t="s">
        <v>4</v>
      </c>
      <c r="D14" s="201">
        <f>'Capacitati 2017'!E21</f>
        <v>1056000</v>
      </c>
      <c r="E14" s="201">
        <f>'Capacitati 2017'!C21</f>
        <v>733500</v>
      </c>
      <c r="F14" s="202">
        <f>E14/D14</f>
        <v>0.69460227272727271</v>
      </c>
      <c r="G14" s="201">
        <f>'Capacitati 2017'!D21</f>
        <v>322500</v>
      </c>
      <c r="H14" s="209">
        <f>G14/D14</f>
        <v>0.30539772727272729</v>
      </c>
    </row>
    <row r="15" spans="2:12" x14ac:dyDescent="0.2">
      <c r="B15" s="145"/>
      <c r="C15" s="21"/>
      <c r="D15" s="27"/>
    </row>
    <row r="16" spans="2:12" ht="12" thickBot="1" x14ac:dyDescent="0.25">
      <c r="B16" s="54" t="s">
        <v>150</v>
      </c>
      <c r="C16" s="55" t="s">
        <v>25</v>
      </c>
      <c r="D16" s="140" t="s">
        <v>26</v>
      </c>
      <c r="E16" s="140" t="s">
        <v>36</v>
      </c>
      <c r="F16" s="140" t="s">
        <v>66</v>
      </c>
      <c r="G16" s="140" t="s">
        <v>37</v>
      </c>
      <c r="H16" s="140" t="s">
        <v>66</v>
      </c>
    </row>
    <row r="17" spans="2:9" ht="12" thickBot="1" x14ac:dyDescent="0.25">
      <c r="B17" s="146" t="s">
        <v>149</v>
      </c>
      <c r="C17" s="163" t="s">
        <v>4</v>
      </c>
      <c r="D17" s="203">
        <f>E17+G17</f>
        <v>930555</v>
      </c>
      <c r="E17" s="206">
        <f>'Capacitati 2017'!C4</f>
        <v>623551</v>
      </c>
      <c r="F17" s="164">
        <f>E17/D17</f>
        <v>0.6700850567671981</v>
      </c>
      <c r="G17" s="206">
        <f>'Capacitati 2017'!D4</f>
        <v>307004</v>
      </c>
      <c r="H17" s="207">
        <f>G17/D17</f>
        <v>0.3299149432328019</v>
      </c>
    </row>
    <row r="18" spans="2:9" x14ac:dyDescent="0.2">
      <c r="B18" s="25"/>
      <c r="C18" s="26"/>
      <c r="D18" s="27"/>
      <c r="E18" s="37"/>
      <c r="F18" s="37"/>
      <c r="G18" s="30"/>
      <c r="H18" s="30"/>
    </row>
    <row r="19" spans="2:9" ht="13.5" thickBot="1" x14ac:dyDescent="0.25">
      <c r="B19" s="54" t="str">
        <f>IF($B$36="ROMANA","Perechi de fibra optica ","FiberCity (Fiber Optics Pairs)")</f>
        <v>FiberCity (Fiber Optics Pairs)</v>
      </c>
      <c r="C19" s="55" t="s">
        <v>25</v>
      </c>
      <c r="D19" s="140" t="s">
        <v>26</v>
      </c>
      <c r="F19"/>
      <c r="G19"/>
      <c r="H19"/>
      <c r="I19"/>
    </row>
    <row r="20" spans="2:9" ht="12.75" x14ac:dyDescent="0.2">
      <c r="B20" s="46" t="str">
        <f>IF($B$36="ROMANA","Lungimea de cablu de fibră optică instalată","Fiber Optics Cable Length")</f>
        <v>Fiber Optics Cable Length</v>
      </c>
      <c r="C20" s="56" t="s">
        <v>4</v>
      </c>
      <c r="D20" s="57">
        <f>'Capacitati 2017'!E13</f>
        <v>45300</v>
      </c>
      <c r="F20"/>
      <c r="G20"/>
      <c r="H20"/>
      <c r="I20"/>
    </row>
    <row r="21" spans="2:9" ht="12.75" x14ac:dyDescent="0.2">
      <c r="B21" s="46" t="str">
        <f>IF($B$36="ROMANA","Lungimea de perechi de fibră optică vandută","Sold Fiber Pairs Length")</f>
        <v>Sold Fiber Pairs Length</v>
      </c>
      <c r="C21" s="58" t="s">
        <v>4</v>
      </c>
      <c r="D21" s="59">
        <f>'Capacitati 2017'!E24/2</f>
        <v>36750</v>
      </c>
      <c r="F21"/>
      <c r="G21"/>
      <c r="H21"/>
      <c r="I21"/>
    </row>
    <row r="22" spans="2:9" ht="13.5" thickBot="1" x14ac:dyDescent="0.25">
      <c r="B22" s="46" t="str">
        <f>IF($B$78="ROMANA","Numar mediu de perechi de fibra vanduta per tubeta","Average Sold Fiber Optics Pairs per Microduct")</f>
        <v>Average Sold Fiber Optics Pairs per Microduct</v>
      </c>
      <c r="C22" s="60" t="s">
        <v>253</v>
      </c>
      <c r="D22" s="205">
        <f>D21/D20</f>
        <v>0.8112582781456954</v>
      </c>
      <c r="F22"/>
      <c r="G22"/>
      <c r="H22"/>
      <c r="I22"/>
    </row>
    <row r="24" spans="2:9" x14ac:dyDescent="0.2">
      <c r="B24" s="46" t="s">
        <v>142</v>
      </c>
      <c r="C24" s="411">
        <f>C27*D29+C28*D30</f>
        <v>1.2973940180565364</v>
      </c>
      <c r="D24" s="324"/>
    </row>
    <row r="25" spans="2:9" ht="12.75" x14ac:dyDescent="0.2">
      <c r="B25"/>
      <c r="C25" s="323"/>
      <c r="D25" s="323"/>
      <c r="E25" s="323"/>
      <c r="F25"/>
      <c r="G25"/>
      <c r="H25"/>
    </row>
    <row r="26" spans="2:9" ht="12.75" x14ac:dyDescent="0.2">
      <c r="B26" s="187"/>
      <c r="C26" s="187"/>
      <c r="D26" s="187"/>
      <c r="E26" s="187"/>
      <c r="F26" s="187"/>
      <c r="G26" s="187"/>
      <c r="H26" s="187"/>
    </row>
    <row r="27" spans="2:9" ht="15" x14ac:dyDescent="0.25">
      <c r="B27" s="188" t="s">
        <v>224</v>
      </c>
      <c r="C27" s="411">
        <v>1.27</v>
      </c>
      <c r="D27" s="188"/>
      <c r="E27" s="189"/>
      <c r="F27" s="189"/>
      <c r="G27" s="189"/>
      <c r="H27" s="190"/>
    </row>
    <row r="28" spans="2:9" ht="15" x14ac:dyDescent="0.25">
      <c r="B28" s="188" t="s">
        <v>225</v>
      </c>
      <c r="C28" s="411">
        <v>1.5</v>
      </c>
      <c r="D28" s="188"/>
      <c r="E28" s="187"/>
      <c r="F28" s="187"/>
      <c r="G28" s="187"/>
      <c r="H28" s="187"/>
    </row>
    <row r="29" spans="2:9" ht="15" x14ac:dyDescent="0.25">
      <c r="B29" s="188" t="s">
        <v>226</v>
      </c>
      <c r="C29" s="413">
        <v>230755</v>
      </c>
      <c r="D29" s="412">
        <f>C29/SUM(C29:C30)</f>
        <v>0.88089557366723292</v>
      </c>
      <c r="E29" s="187"/>
      <c r="F29" s="187"/>
      <c r="G29" s="187"/>
      <c r="H29" s="187"/>
    </row>
    <row r="30" spans="2:9" ht="15" x14ac:dyDescent="0.25">
      <c r="B30" s="188" t="s">
        <v>227</v>
      </c>
      <c r="C30" s="413">
        <v>31200</v>
      </c>
      <c r="D30" s="412">
        <f>C30/SUM(C29:C30)</f>
        <v>0.11910442633276708</v>
      </c>
      <c r="E30" s="191"/>
      <c r="F30" s="191"/>
      <c r="G30" s="191"/>
      <c r="H30" s="191"/>
    </row>
    <row r="31" spans="2:9" ht="12.75" x14ac:dyDescent="0.2">
      <c r="B31" s="187"/>
      <c r="C31" s="187"/>
      <c r="D31" s="187"/>
      <c r="E31" s="187"/>
      <c r="F31" s="187"/>
      <c r="G31" s="187"/>
      <c r="H31" s="187"/>
    </row>
    <row r="32" spans="2:9" ht="12.75" x14ac:dyDescent="0.2">
      <c r="B32" s="187"/>
      <c r="C32" s="187"/>
      <c r="D32" s="187"/>
      <c r="E32" s="187"/>
      <c r="F32" s="187"/>
      <c r="G32" s="187"/>
      <c r="H32" s="187"/>
    </row>
    <row r="33" spans="2:8" ht="12.75" x14ac:dyDescent="0.2">
      <c r="B33" s="187"/>
      <c r="C33" s="187"/>
      <c r="D33" s="187"/>
      <c r="E33" s="187"/>
      <c r="F33" s="187"/>
      <c r="G33" s="187"/>
      <c r="H33" s="187"/>
    </row>
    <row r="34" spans="2:8" ht="15" x14ac:dyDescent="0.25">
      <c r="B34" s="188"/>
      <c r="C34" s="189"/>
      <c r="D34" s="189"/>
      <c r="E34" s="189"/>
      <c r="F34" s="189"/>
      <c r="G34" s="189"/>
      <c r="H34" s="190"/>
    </row>
    <row r="35" spans="2:8" ht="12.75" x14ac:dyDescent="0.2">
      <c r="B35" s="187"/>
      <c r="C35" s="187"/>
      <c r="D35" s="187"/>
      <c r="E35" s="187"/>
      <c r="F35" s="187"/>
      <c r="G35" s="187"/>
      <c r="H35" s="187"/>
    </row>
    <row r="36" spans="2:8" ht="15" hidden="1" customHeight="1" x14ac:dyDescent="0.2">
      <c r="B36" s="187"/>
      <c r="C36" s="187"/>
      <c r="D36" s="187"/>
      <c r="E36" s="187"/>
      <c r="F36" s="187"/>
      <c r="G36" s="187"/>
      <c r="H36" s="187"/>
    </row>
    <row r="37" spans="2:8" ht="12.75" x14ac:dyDescent="0.2">
      <c r="B37" s="191"/>
      <c r="C37" s="191"/>
      <c r="D37" s="191"/>
      <c r="E37" s="191"/>
      <c r="F37" s="191"/>
      <c r="G37" s="191"/>
      <c r="H37" s="191"/>
    </row>
    <row r="38" spans="2:8" ht="12.75" x14ac:dyDescent="0.2">
      <c r="B38" s="187"/>
      <c r="C38" s="187"/>
      <c r="D38" s="187"/>
      <c r="E38" s="187"/>
      <c r="F38" s="187"/>
      <c r="G38" s="187"/>
      <c r="H38" s="187"/>
    </row>
    <row r="39" spans="2:8" ht="12.75" x14ac:dyDescent="0.2">
      <c r="B39" s="187"/>
      <c r="C39" s="187"/>
      <c r="D39" s="187"/>
      <c r="E39" s="187"/>
      <c r="F39" s="187"/>
      <c r="G39" s="187"/>
      <c r="H39" s="187"/>
    </row>
    <row r="40" spans="2:8" ht="12.75" x14ac:dyDescent="0.2">
      <c r="B40" s="187"/>
      <c r="C40" s="187"/>
      <c r="D40" s="187"/>
      <c r="E40" s="187"/>
      <c r="F40" s="187"/>
      <c r="G40" s="187"/>
      <c r="H40" s="187"/>
    </row>
    <row r="41" spans="2:8" ht="15" x14ac:dyDescent="0.25">
      <c r="B41" s="188"/>
      <c r="C41" s="189"/>
      <c r="D41" s="189"/>
      <c r="E41" s="189"/>
      <c r="F41" s="189"/>
      <c r="G41" s="189"/>
      <c r="H41" s="190"/>
    </row>
    <row r="42" spans="2:8" ht="12.75" x14ac:dyDescent="0.2">
      <c r="B42" s="187"/>
      <c r="C42" s="187"/>
      <c r="D42" s="187"/>
      <c r="E42" s="187"/>
      <c r="F42" s="187"/>
      <c r="G42" s="187"/>
      <c r="H42" s="187"/>
    </row>
    <row r="43" spans="2:8" ht="12.75" x14ac:dyDescent="0.2">
      <c r="B43"/>
      <c r="C43"/>
      <c r="D43"/>
      <c r="E43"/>
      <c r="F43"/>
      <c r="G43"/>
      <c r="H43"/>
    </row>
    <row r="44" spans="2:8" ht="12.75" x14ac:dyDescent="0.2">
      <c r="B44" s="185"/>
      <c r="C44" s="185"/>
      <c r="D44" s="185"/>
      <c r="E44" s="185"/>
      <c r="F44" s="185"/>
      <c r="G44" s="185"/>
      <c r="H44" s="185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2"/>
  <sheetViews>
    <sheetView workbookViewId="0"/>
  </sheetViews>
  <sheetFormatPr defaultRowHeight="12.75" x14ac:dyDescent="0.2"/>
  <sheetData>
    <row r="1" spans="1:5" x14ac:dyDescent="0.2">
      <c r="A1" s="20" t="s">
        <v>6</v>
      </c>
      <c r="B1" s="20" t="s">
        <v>7</v>
      </c>
      <c r="C1" s="20" t="s">
        <v>8</v>
      </c>
      <c r="D1" s="20" t="s">
        <v>9</v>
      </c>
      <c r="E1" s="20" t="s">
        <v>10</v>
      </c>
    </row>
    <row r="2" spans="1:5" x14ac:dyDescent="0.2">
      <c r="A2">
        <v>2</v>
      </c>
      <c r="B2">
        <v>46</v>
      </c>
      <c r="C2">
        <v>4</v>
      </c>
      <c r="D2">
        <v>49</v>
      </c>
      <c r="E2" t="s">
        <v>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05"/>
  <sheetViews>
    <sheetView zoomScale="130" zoomScaleNormal="13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I33" sqref="I33"/>
    </sheetView>
  </sheetViews>
  <sheetFormatPr defaultColWidth="9.140625" defaultRowHeight="11.25" x14ac:dyDescent="0.2"/>
  <cols>
    <col min="1" max="1" width="3.5703125" style="415" customWidth="1"/>
    <col min="2" max="2" width="26.42578125" style="415" customWidth="1"/>
    <col min="3" max="4" width="9.42578125" style="415" bestFit="1" customWidth="1"/>
    <col min="5" max="5" width="8.140625" style="415" bestFit="1" customWidth="1"/>
    <col min="6" max="6" width="8.7109375" style="415" bestFit="1" customWidth="1"/>
    <col min="7" max="7" width="8.42578125" style="415" bestFit="1" customWidth="1"/>
    <col min="8" max="8" width="16.42578125" style="415" bestFit="1" customWidth="1"/>
    <col min="9" max="9" width="13.7109375" style="415" customWidth="1"/>
    <col min="10" max="16384" width="9.140625" style="415"/>
  </cols>
  <sheetData>
    <row r="1" spans="1:10" x14ac:dyDescent="0.2">
      <c r="A1" s="414"/>
    </row>
    <row r="2" spans="1:10" x14ac:dyDescent="0.2">
      <c r="A2" s="414"/>
      <c r="B2" s="416" t="s">
        <v>98</v>
      </c>
      <c r="C2" s="417">
        <v>2013</v>
      </c>
      <c r="D2" s="417">
        <v>2017</v>
      </c>
      <c r="E2" s="418"/>
      <c r="F2" s="417">
        <v>2013</v>
      </c>
      <c r="G2" s="417">
        <v>2017</v>
      </c>
      <c r="H2" s="419"/>
      <c r="I2" s="544" t="s">
        <v>276</v>
      </c>
      <c r="J2" s="544" t="s">
        <v>321</v>
      </c>
    </row>
    <row r="3" spans="1:10" ht="10.15" customHeight="1" x14ac:dyDescent="0.2">
      <c r="A3" s="414"/>
      <c r="B3" s="420"/>
      <c r="C3" s="421" t="s">
        <v>118</v>
      </c>
      <c r="D3" s="421" t="s">
        <v>220</v>
      </c>
      <c r="E3" s="422"/>
      <c r="F3" s="421" t="s">
        <v>263</v>
      </c>
      <c r="G3" s="421" t="s">
        <v>263</v>
      </c>
      <c r="H3" s="423"/>
      <c r="I3" s="545"/>
      <c r="J3" s="545"/>
    </row>
    <row r="4" spans="1:10" ht="10.15" customHeight="1" x14ac:dyDescent="0.2">
      <c r="A4" s="414"/>
      <c r="B4" s="424" t="s">
        <v>96</v>
      </c>
      <c r="C4" s="451">
        <v>322500</v>
      </c>
      <c r="D4" s="451">
        <v>89207</v>
      </c>
      <c r="E4" s="7"/>
      <c r="F4" s="7"/>
      <c r="G4" s="7"/>
      <c r="H4" s="7"/>
      <c r="I4" s="546"/>
      <c r="J4" s="546"/>
    </row>
    <row r="5" spans="1:10" x14ac:dyDescent="0.2">
      <c r="A5" s="414"/>
      <c r="B5" s="425" t="s">
        <v>96</v>
      </c>
      <c r="C5" s="449">
        <v>237555</v>
      </c>
      <c r="D5" s="449">
        <v>203600</v>
      </c>
      <c r="E5" s="7"/>
      <c r="F5" s="426"/>
      <c r="G5" s="426"/>
      <c r="H5" s="426"/>
    </row>
    <row r="6" spans="1:10" x14ac:dyDescent="0.2">
      <c r="A6" s="414"/>
      <c r="B6" s="424" t="s">
        <v>92</v>
      </c>
      <c r="C6" s="319">
        <f>SUM(C7:C13)</f>
        <v>15856411</v>
      </c>
      <c r="D6" s="319">
        <f>SUM(D7:D13)</f>
        <v>12458956</v>
      </c>
      <c r="E6" s="7"/>
      <c r="F6" s="7"/>
      <c r="G6" s="7"/>
      <c r="H6" s="7"/>
    </row>
    <row r="7" spans="1:10" x14ac:dyDescent="0.2">
      <c r="A7" s="414"/>
      <c r="B7" s="425" t="s">
        <v>154</v>
      </c>
      <c r="C7" s="449">
        <v>4506200</v>
      </c>
      <c r="D7" s="449">
        <v>6502333</v>
      </c>
      <c r="E7" s="7"/>
      <c r="F7" s="7"/>
      <c r="G7" s="7"/>
      <c r="H7" s="7"/>
    </row>
    <row r="8" spans="1:10" x14ac:dyDescent="0.2">
      <c r="A8" s="414"/>
      <c r="B8" s="425" t="s">
        <v>155</v>
      </c>
      <c r="C8" s="449">
        <v>1555020</v>
      </c>
      <c r="D8" s="449">
        <v>899215</v>
      </c>
      <c r="E8" s="7"/>
      <c r="F8" s="7"/>
      <c r="G8" s="7"/>
      <c r="H8" s="7"/>
    </row>
    <row r="9" spans="1:10" x14ac:dyDescent="0.2">
      <c r="A9" s="414"/>
      <c r="B9" s="425" t="s">
        <v>156</v>
      </c>
      <c r="C9" s="449">
        <v>9222005</v>
      </c>
      <c r="D9" s="449">
        <v>3005600</v>
      </c>
      <c r="E9" s="7"/>
      <c r="F9" s="7"/>
      <c r="G9" s="7"/>
      <c r="H9" s="7"/>
      <c r="I9" s="199"/>
    </row>
    <row r="10" spans="1:10" x14ac:dyDescent="0.2">
      <c r="A10" s="414"/>
      <c r="B10" s="425" t="s">
        <v>177</v>
      </c>
      <c r="C10" s="449">
        <v>528999</v>
      </c>
      <c r="D10" s="449">
        <v>1931500</v>
      </c>
      <c r="E10" s="7"/>
      <c r="F10" s="7"/>
      <c r="G10" s="7"/>
      <c r="H10" s="7"/>
      <c r="I10" s="199"/>
    </row>
    <row r="11" spans="1:10" x14ac:dyDescent="0.2">
      <c r="A11" s="414"/>
      <c r="B11" s="213" t="s">
        <v>176</v>
      </c>
      <c r="C11" s="450">
        <v>-7323</v>
      </c>
      <c r="D11" s="214">
        <v>0</v>
      </c>
      <c r="E11" s="7"/>
      <c r="F11" s="426"/>
      <c r="G11" s="426"/>
      <c r="H11" s="7"/>
      <c r="I11" s="422"/>
    </row>
    <row r="12" spans="1:10" x14ac:dyDescent="0.2">
      <c r="A12" s="414"/>
      <c r="B12" s="425" t="s">
        <v>170</v>
      </c>
      <c r="C12" s="449">
        <v>32588</v>
      </c>
      <c r="D12" s="449">
        <v>6800</v>
      </c>
      <c r="E12" s="7"/>
      <c r="F12" s="7"/>
      <c r="G12" s="7"/>
      <c r="H12" s="7"/>
      <c r="I12" s="199"/>
    </row>
    <row r="13" spans="1:10" x14ac:dyDescent="0.2">
      <c r="A13" s="414"/>
      <c r="B13" s="425" t="s">
        <v>157</v>
      </c>
      <c r="C13" s="449">
        <v>18922</v>
      </c>
      <c r="D13" s="449">
        <v>113508</v>
      </c>
      <c r="E13" s="7"/>
      <c r="F13" s="7"/>
      <c r="G13" s="7"/>
      <c r="H13" s="7"/>
      <c r="I13" s="199"/>
    </row>
    <row r="14" spans="1:10" x14ac:dyDescent="0.2">
      <c r="A14" s="414"/>
      <c r="B14" s="424" t="s">
        <v>95</v>
      </c>
      <c r="C14" s="319">
        <f t="shared" ref="C14" si="0">SUM(C15:C16)</f>
        <v>802557</v>
      </c>
      <c r="D14" s="319">
        <f>SUM(D15:D16)</f>
        <v>2013340</v>
      </c>
      <c r="E14" s="7"/>
      <c r="F14" s="7"/>
      <c r="G14" s="7"/>
      <c r="H14" s="7"/>
      <c r="I14" s="199"/>
    </row>
    <row r="15" spans="1:10" x14ac:dyDescent="0.2">
      <c r="A15" s="414"/>
      <c r="B15" s="425" t="s">
        <v>95</v>
      </c>
      <c r="C15" s="449">
        <v>789302</v>
      </c>
      <c r="D15" s="449">
        <v>2009040</v>
      </c>
      <c r="E15" s="7"/>
      <c r="F15" s="426">
        <f>C15/'Ipoteze de lucru'!$C$15/12</f>
        <v>14884.626989514974</v>
      </c>
      <c r="G15" s="426">
        <f>D15/'Ipoteze de lucru'!$C$19/12</f>
        <v>36649.810643374709</v>
      </c>
      <c r="H15" s="426"/>
      <c r="I15" s="199"/>
    </row>
    <row r="16" spans="1:10" x14ac:dyDescent="0.2">
      <c r="A16" s="414"/>
      <c r="B16" s="425" t="s">
        <v>158</v>
      </c>
      <c r="C16" s="449">
        <v>13255</v>
      </c>
      <c r="D16" s="449">
        <v>4300</v>
      </c>
      <c r="E16" s="7"/>
      <c r="F16" s="426">
        <f>C16/'Ipoteze de lucru'!$C$15/12</f>
        <v>249.96228407633706</v>
      </c>
      <c r="G16" s="426">
        <f>D16/'Ipoteze de lucru'!$C$19/12</f>
        <v>78.442532635742069</v>
      </c>
      <c r="H16" s="426"/>
    </row>
    <row r="17" spans="2:10" s="414" customFormat="1" x14ac:dyDescent="0.2">
      <c r="B17" s="424" t="s">
        <v>242</v>
      </c>
      <c r="C17" s="319">
        <f t="shared" ref="C17" si="1">C18</f>
        <v>450600</v>
      </c>
      <c r="D17" s="319">
        <f>D18</f>
        <v>168201</v>
      </c>
      <c r="E17" s="7"/>
      <c r="F17" s="7"/>
      <c r="G17" s="7"/>
      <c r="H17" s="7"/>
      <c r="I17" s="199"/>
    </row>
    <row r="18" spans="2:10" s="414" customFormat="1" x14ac:dyDescent="0.2">
      <c r="B18" s="425" t="s">
        <v>242</v>
      </c>
      <c r="C18" s="449">
        <v>450600</v>
      </c>
      <c r="D18" s="449">
        <v>168201</v>
      </c>
      <c r="E18" s="7"/>
      <c r="F18" s="7"/>
      <c r="G18" s="7"/>
      <c r="H18" s="7"/>
      <c r="I18" s="199"/>
    </row>
    <row r="19" spans="2:10" s="414" customFormat="1" x14ac:dyDescent="0.2">
      <c r="B19" s="424" t="s">
        <v>93</v>
      </c>
      <c r="C19" s="451">
        <v>3455200</v>
      </c>
      <c r="D19" s="451">
        <v>2567333</v>
      </c>
      <c r="E19" s="7"/>
      <c r="F19" s="7"/>
      <c r="G19" s="7"/>
      <c r="H19" s="7"/>
    </row>
    <row r="20" spans="2:10" s="414" customFormat="1" x14ac:dyDescent="0.2">
      <c r="B20" s="425" t="s">
        <v>93</v>
      </c>
      <c r="C20" s="449">
        <v>2569888</v>
      </c>
      <c r="D20" s="214">
        <f>D19</f>
        <v>2567333</v>
      </c>
      <c r="E20" s="7"/>
      <c r="F20" s="7"/>
      <c r="G20" s="427"/>
      <c r="H20" s="427"/>
      <c r="I20" s="199"/>
    </row>
    <row r="21" spans="2:10" s="414" customFormat="1" x14ac:dyDescent="0.2">
      <c r="B21" s="424" t="s">
        <v>94</v>
      </c>
      <c r="C21" s="319">
        <f>C22+SUM(C40:C44)</f>
        <v>9026243</v>
      </c>
      <c r="D21" s="319">
        <f>D22+SUM(D40:D44)</f>
        <v>3556243</v>
      </c>
      <c r="E21" s="428"/>
      <c r="F21" s="388">
        <f>F22+SUM(F40:F44)</f>
        <v>170216.54597571096</v>
      </c>
      <c r="G21" s="388">
        <f>G22+SUM(G40:G44)</f>
        <v>64874.583160030059</v>
      </c>
      <c r="H21" s="7"/>
      <c r="I21" s="390">
        <f>I22+SUM(I40:I44)</f>
        <v>933587.85129700415</v>
      </c>
    </row>
    <row r="22" spans="2:10" s="414" customFormat="1" x14ac:dyDescent="0.2">
      <c r="B22" s="425" t="s">
        <v>159</v>
      </c>
      <c r="C22" s="214">
        <f>SUM(C23:C39)</f>
        <v>4759064</v>
      </c>
      <c r="D22" s="214">
        <f>SUM(D23:D39)</f>
        <v>2223327</v>
      </c>
      <c r="E22" s="7"/>
      <c r="F22" s="388">
        <f>SUM(F23:F39)</f>
        <v>89746.247265595535</v>
      </c>
      <c r="G22" s="388">
        <f>SUM(G23:G39)</f>
        <v>40558.930408703833</v>
      </c>
      <c r="H22" s="7"/>
      <c r="I22" s="390">
        <f>SUM(I23:I39)</f>
        <v>755557.90129677148</v>
      </c>
    </row>
    <row r="23" spans="2:10" s="414" customFormat="1" x14ac:dyDescent="0.2">
      <c r="B23" s="213" t="s">
        <v>160</v>
      </c>
      <c r="C23" s="449">
        <v>3455890</v>
      </c>
      <c r="D23" s="449">
        <v>1255609</v>
      </c>
      <c r="E23" s="7"/>
      <c r="F23" s="426">
        <f>C23/'Ipoteze de lucru'!$C$15/12</f>
        <v>65171.041713811574</v>
      </c>
      <c r="G23" s="426">
        <f>D23/'Ipoteze de lucru'!$C$19/12</f>
        <v>22905.383711681734</v>
      </c>
      <c r="H23" s="7"/>
      <c r="I23" s="389">
        <f>(C23/'Ipoteze de lucru'!$C$15+D23/'Ipoteze de lucru'!$C$19)/2</f>
        <v>528458.55255295988</v>
      </c>
      <c r="J23" s="414" t="s">
        <v>322</v>
      </c>
    </row>
    <row r="24" spans="2:10" s="414" customFormat="1" x14ac:dyDescent="0.2">
      <c r="B24" s="213" t="s">
        <v>161</v>
      </c>
      <c r="C24" s="449">
        <v>504300</v>
      </c>
      <c r="D24" s="449">
        <v>405600</v>
      </c>
      <c r="E24" s="7"/>
      <c r="F24" s="426">
        <f>C24/'Ipoteze de lucru'!$C$15/12</f>
        <v>9510.0701516180143</v>
      </c>
      <c r="G24" s="426">
        <f>D24/'Ipoteze de lucru'!$C$19/12</f>
        <v>7399.1374969899953</v>
      </c>
      <c r="H24" s="7"/>
      <c r="I24" s="389">
        <f>(C24/'Ipoteze de lucru'!$C$15+D24/'Ipoteze de lucru'!$C$19)/2</f>
        <v>101455.24589164805</v>
      </c>
      <c r="J24" s="414" t="s">
        <v>322</v>
      </c>
    </row>
    <row r="25" spans="2:10" s="414" customFormat="1" x14ac:dyDescent="0.2">
      <c r="B25" s="213" t="s">
        <v>162</v>
      </c>
      <c r="C25" s="214"/>
      <c r="D25" s="214">
        <v>0</v>
      </c>
      <c r="E25" s="7"/>
      <c r="F25" s="426"/>
      <c r="G25" s="426"/>
      <c r="H25" s="7"/>
      <c r="I25" s="199"/>
    </row>
    <row r="26" spans="2:10" s="414" customFormat="1" x14ac:dyDescent="0.2">
      <c r="B26" s="213" t="s">
        <v>163</v>
      </c>
      <c r="C26" s="449">
        <v>289776</v>
      </c>
      <c r="D26" s="449">
        <v>325000</v>
      </c>
      <c r="E26" s="7"/>
      <c r="F26" s="426">
        <f>C26/'Ipoteze de lucru'!$C$15/12</f>
        <v>5464.5847476804711</v>
      </c>
      <c r="G26" s="426">
        <f>D26/'Ipoteze de lucru'!$C$19/12</f>
        <v>5928.7960713060857</v>
      </c>
      <c r="H26" s="429"/>
      <c r="I26" s="391">
        <f>D26/'Ipoteze de lucru'!$C$19</f>
        <v>71145.552855673028</v>
      </c>
      <c r="J26" s="414" t="s">
        <v>323</v>
      </c>
    </row>
    <row r="27" spans="2:10" s="414" customFormat="1" x14ac:dyDescent="0.2">
      <c r="B27" s="213" t="s">
        <v>186</v>
      </c>
      <c r="C27" s="449">
        <v>118932</v>
      </c>
      <c r="D27" s="449">
        <v>58904</v>
      </c>
      <c r="E27" s="428"/>
      <c r="F27" s="426">
        <f>C27/'Ipoteze de lucru'!$C$15/12</f>
        <v>2242.8151165422046</v>
      </c>
      <c r="G27" s="426">
        <f>D27/'Ipoteze de lucru'!$C$19/12</f>
        <v>1074.5532424129653</v>
      </c>
      <c r="H27" s="429"/>
      <c r="I27" s="391">
        <f>D27/'Ipoteze de lucru'!$C$19</f>
        <v>12894.638908955583</v>
      </c>
      <c r="J27" s="414" t="s">
        <v>324</v>
      </c>
    </row>
    <row r="28" spans="2:10" s="414" customFormat="1" x14ac:dyDescent="0.2">
      <c r="B28" s="213" t="s">
        <v>164</v>
      </c>
      <c r="C28" s="449">
        <v>205699</v>
      </c>
      <c r="D28" s="449">
        <v>23888</v>
      </c>
      <c r="E28" s="7"/>
      <c r="F28" s="426">
        <f>C28/'Ipoteze de lucru'!$C$15/12</f>
        <v>3879.0638907746852</v>
      </c>
      <c r="G28" s="426">
        <f>D28/'Ipoteze de lucru'!$C$19/12</f>
        <v>435.77563246572237</v>
      </c>
      <c r="H28" s="7"/>
      <c r="I28" s="391">
        <f>D28/'Ipoteze de lucru'!$C$19</f>
        <v>5229.3075895886686</v>
      </c>
      <c r="J28" s="414" t="s">
        <v>325</v>
      </c>
    </row>
    <row r="29" spans="2:10" s="414" customFormat="1" x14ac:dyDescent="0.2">
      <c r="B29" s="213" t="s">
        <v>165</v>
      </c>
      <c r="C29" s="449">
        <v>38509</v>
      </c>
      <c r="D29" s="449">
        <v>45999</v>
      </c>
      <c r="E29" s="7"/>
      <c r="F29" s="426">
        <f>C29/'Ipoteze de lucru'!$C$15/12</f>
        <v>726.20125216866563</v>
      </c>
      <c r="G29" s="426">
        <f>D29/'Ipoteze de lucru'!$C$19/12</f>
        <v>839.13443225848823</v>
      </c>
      <c r="H29" s="7"/>
      <c r="I29" s="389">
        <f>(C29/'Ipoteze de lucru'!$C$15+D29/'Ipoteze de lucru'!$C$19)/2</f>
        <v>9392.0141065629232</v>
      </c>
      <c r="J29" s="414" t="s">
        <v>322</v>
      </c>
    </row>
    <row r="30" spans="2:10" s="414" customFormat="1" x14ac:dyDescent="0.2">
      <c r="B30" s="213" t="s">
        <v>166</v>
      </c>
      <c r="C30" s="449">
        <v>14534</v>
      </c>
      <c r="D30" s="449">
        <v>2333</v>
      </c>
      <c r="E30" s="7"/>
      <c r="F30" s="426">
        <f>C30/'Ipoteze de lucru'!$C$15/12</f>
        <v>274.08161725880672</v>
      </c>
      <c r="G30" s="426">
        <f>D30/'Ipoteze de lucru'!$C$19/12</f>
        <v>42.559634567252608</v>
      </c>
      <c r="H30" s="7"/>
      <c r="I30" s="391">
        <f>D30/'Ipoteze de lucru'!$C$19</f>
        <v>510.71561480703133</v>
      </c>
      <c r="J30" s="414" t="s">
        <v>326</v>
      </c>
    </row>
    <row r="31" spans="2:10" s="414" customFormat="1" x14ac:dyDescent="0.2">
      <c r="B31" s="213" t="s">
        <v>167</v>
      </c>
      <c r="C31" s="449">
        <v>15888</v>
      </c>
      <c r="D31" s="449">
        <v>4202</v>
      </c>
      <c r="E31" s="7"/>
      <c r="F31" s="426">
        <f>C31/'Ipoteze de lucru'!$C$15/12</f>
        <v>299.61529757863769</v>
      </c>
      <c r="G31" s="426">
        <f>D31/'Ipoteze de lucru'!$C$19/12</f>
        <v>76.654772589625154</v>
      </c>
      <c r="H31" s="7"/>
      <c r="I31" s="389">
        <f>(C31/'Ipoteze de lucru'!$C$15+D31/'Ipoteze de lucru'!$C$19)/2</f>
        <v>2257.6204210095771</v>
      </c>
      <c r="J31" s="414" t="s">
        <v>322</v>
      </c>
    </row>
    <row r="32" spans="2:10" s="414" customFormat="1" x14ac:dyDescent="0.2">
      <c r="B32" s="213" t="s">
        <v>168</v>
      </c>
      <c r="C32" s="449">
        <v>19008</v>
      </c>
      <c r="D32" s="449">
        <v>6893</v>
      </c>
      <c r="E32" s="7"/>
      <c r="F32" s="426">
        <f>C32/'Ipoteze de lucru'!$C$15/12</f>
        <v>358.45213849287171</v>
      </c>
      <c r="G32" s="426">
        <f>D32/'Ipoteze de lucru'!$C$19/12</f>
        <v>125.74520406003954</v>
      </c>
      <c r="H32" s="7"/>
      <c r="I32" s="389">
        <f>(C32/'Ipoteze de lucru'!$C$15+D32/'Ipoteze de lucru'!$C$19)/2</f>
        <v>2905.1840553174675</v>
      </c>
      <c r="J32" s="414" t="s">
        <v>322</v>
      </c>
    </row>
    <row r="33" spans="1:10" x14ac:dyDescent="0.2">
      <c r="A33" s="414"/>
      <c r="B33" s="213" t="s">
        <v>169</v>
      </c>
      <c r="C33" s="449">
        <v>28678</v>
      </c>
      <c r="D33" s="449">
        <v>15603</v>
      </c>
      <c r="E33" s="7"/>
      <c r="F33" s="426">
        <f>C33/'Ipoteze de lucru'!$C$15/12</f>
        <v>540.80862940333407</v>
      </c>
      <c r="G33" s="426">
        <f>D33/'Ipoteze de lucru'!$C$19/12</f>
        <v>284.63693877104265</v>
      </c>
      <c r="H33" s="7"/>
      <c r="I33" s="389">
        <f>(C33/'Ipoteze de lucru'!$C$15+D33/'Ipoteze de lucru'!$C$19)/2</f>
        <v>4952.6734090462605</v>
      </c>
      <c r="J33" s="414" t="s">
        <v>322</v>
      </c>
    </row>
    <row r="34" spans="1:10" x14ac:dyDescent="0.2">
      <c r="A34" s="414"/>
      <c r="B34" s="213" t="s">
        <v>171</v>
      </c>
      <c r="C34" s="449">
        <v>11509</v>
      </c>
      <c r="D34" s="449">
        <v>55381</v>
      </c>
      <c r="E34" s="7"/>
      <c r="F34" s="426">
        <f>C34/'Ipoteze de lucru'!$C$15/12</f>
        <v>217.0362827185638</v>
      </c>
      <c r="G34" s="426">
        <f>D34/'Ipoteze de lucru'!$C$19/12</f>
        <v>1010.2850930000072</v>
      </c>
      <c r="H34" s="7"/>
      <c r="I34" s="389">
        <f>(C34/'Ipoteze de lucru'!$C$15+D34/'Ipoteze de lucru'!$C$19)/2</f>
        <v>7363.9282543114259</v>
      </c>
      <c r="J34" s="414" t="s">
        <v>322</v>
      </c>
    </row>
    <row r="35" spans="1:10" x14ac:dyDescent="0.2">
      <c r="A35" s="414"/>
      <c r="B35" s="213" t="s">
        <v>172</v>
      </c>
      <c r="C35" s="449">
        <v>14004</v>
      </c>
      <c r="D35" s="449">
        <v>1053</v>
      </c>
      <c r="E35" s="7"/>
      <c r="F35" s="426">
        <f>C35/'Ipoteze de lucru'!$C$15/12</f>
        <v>264.08689748811952</v>
      </c>
      <c r="G35" s="426">
        <f>D35/'Ipoteze de lucru'!$C$19/12</f>
        <v>19.209299271031721</v>
      </c>
      <c r="H35" s="429"/>
      <c r="I35" s="389">
        <f>(C35/'Ipoteze de lucru'!$C$15+D35/'Ipoteze de lucru'!$C$19)/2</f>
        <v>1699.7771805549073</v>
      </c>
      <c r="J35" s="414" t="s">
        <v>322</v>
      </c>
    </row>
    <row r="36" spans="1:10" x14ac:dyDescent="0.2">
      <c r="A36" s="414"/>
      <c r="B36" s="213" t="s">
        <v>173</v>
      </c>
      <c r="C36" s="449">
        <v>16733</v>
      </c>
      <c r="D36" s="449">
        <v>2832</v>
      </c>
      <c r="E36" s="7"/>
      <c r="F36" s="426">
        <f>C36/'Ipoteze de lucru'!$C$15/12</f>
        <v>315.5502753262428</v>
      </c>
      <c r="G36" s="426">
        <f>D36/'Ipoteze de lucru'!$C$19/12</f>
        <v>51.662616842888724</v>
      </c>
      <c r="H36" s="7"/>
      <c r="I36" s="389">
        <f>(C36/'Ipoteze de lucru'!$C$15+D36/'Ipoteze de lucru'!$C$19)/2</f>
        <v>2203.2773530147888</v>
      </c>
      <c r="J36" s="414" t="s">
        <v>322</v>
      </c>
    </row>
    <row r="37" spans="1:10" x14ac:dyDescent="0.2">
      <c r="A37" s="414"/>
      <c r="B37" s="213" t="s">
        <v>174</v>
      </c>
      <c r="C37" s="449">
        <v>8327</v>
      </c>
      <c r="D37" s="449">
        <v>15306</v>
      </c>
      <c r="E37" s="7"/>
      <c r="F37" s="426">
        <f>C37/'Ipoteze de lucru'!$C$15/12</f>
        <v>157.03024817077772</v>
      </c>
      <c r="G37" s="426">
        <f>D37/'Ipoteze de lucru'!$C$19/12</f>
        <v>279.21893128434141</v>
      </c>
      <c r="H37" s="7"/>
      <c r="I37" s="389">
        <f>(C37/'Ipoteze de lucru'!$C$15+D37/'Ipoteze de lucru'!$C$19)/2</f>
        <v>2617.4950767307146</v>
      </c>
      <c r="J37" s="414" t="s">
        <v>322</v>
      </c>
    </row>
    <row r="38" spans="1:10" x14ac:dyDescent="0.2">
      <c r="A38" s="414"/>
      <c r="B38" s="213" t="s">
        <v>175</v>
      </c>
      <c r="C38" s="449">
        <v>11500</v>
      </c>
      <c r="D38" s="449">
        <v>1500</v>
      </c>
      <c r="E38" s="7"/>
      <c r="F38" s="426">
        <f>C38/'Ipoteze de lucru'!$C$15/12</f>
        <v>216.86656106208042</v>
      </c>
      <c r="G38" s="426">
        <f>D38/'Ipoteze de lucru'!$C$19/12</f>
        <v>27.363674175258861</v>
      </c>
      <c r="H38" s="7"/>
      <c r="I38" s="389">
        <f>(C38/'Ipoteze de lucru'!$C$15+D38/'Ipoteze de lucru'!$C$19)/2</f>
        <v>1465.3814114240356</v>
      </c>
      <c r="J38" s="414" t="s">
        <v>322</v>
      </c>
    </row>
    <row r="39" spans="1:10" x14ac:dyDescent="0.2">
      <c r="A39" s="414"/>
      <c r="B39" s="213" t="s">
        <v>221</v>
      </c>
      <c r="C39" s="449">
        <v>5777</v>
      </c>
      <c r="D39" s="449">
        <v>3224</v>
      </c>
      <c r="E39" s="7"/>
      <c r="F39" s="426">
        <f>C39/'Ipoteze de lucru'!$C$15/12</f>
        <v>108.94244550049031</v>
      </c>
      <c r="G39" s="426">
        <f>D39/'Ipoteze de lucru'!$C$19/12</f>
        <v>58.813657027356378</v>
      </c>
      <c r="H39" s="7"/>
      <c r="I39" s="389">
        <f>(C39/'Ipoteze de lucru'!$C$15+D39/'Ipoteze de lucru'!$C$19)/2</f>
        <v>1006.5366151670801</v>
      </c>
      <c r="J39" s="414" t="s">
        <v>322</v>
      </c>
    </row>
    <row r="40" spans="1:10" x14ac:dyDescent="0.2">
      <c r="A40" s="414"/>
      <c r="B40" s="425" t="s">
        <v>240</v>
      </c>
      <c r="C40" s="449">
        <v>3550009</v>
      </c>
      <c r="D40" s="449">
        <v>832500</v>
      </c>
      <c r="E40" s="7"/>
      <c r="F40" s="426">
        <f>C40/'Ipoteze de lucru'!$C$15/12</f>
        <v>66945.93422342914</v>
      </c>
      <c r="G40" s="426">
        <f>D40/'Ipoteze de lucru'!$C$19/12</f>
        <v>15186.839167268665</v>
      </c>
      <c r="H40" s="430"/>
      <c r="I40" s="431">
        <f>I78</f>
        <v>45519.784215081199</v>
      </c>
      <c r="J40" s="414" t="s">
        <v>327</v>
      </c>
    </row>
    <row r="41" spans="1:10" x14ac:dyDescent="0.2">
      <c r="A41" s="414"/>
      <c r="B41" s="425" t="s">
        <v>178</v>
      </c>
      <c r="C41" s="449">
        <v>111006</v>
      </c>
      <c r="D41" s="449">
        <v>83607</v>
      </c>
      <c r="E41" s="7"/>
      <c r="F41" s="426">
        <f>C41/'Ipoteze de lucru'!$C$15/12</f>
        <v>2093.3469110658521</v>
      </c>
      <c r="G41" s="426">
        <f>D41/'Ipoteze de lucru'!$C$19/12</f>
        <v>1525.1964711805783</v>
      </c>
      <c r="H41" s="7"/>
      <c r="I41" s="391">
        <f>D41/'Ipoteze de lucru'!$C$19</f>
        <v>18302.357654166939</v>
      </c>
      <c r="J41" s="414" t="s">
        <v>328</v>
      </c>
    </row>
    <row r="42" spans="1:10" x14ac:dyDescent="0.2">
      <c r="A42" s="414"/>
      <c r="B42" s="425" t="s">
        <v>179</v>
      </c>
      <c r="C42" s="449">
        <v>199327</v>
      </c>
      <c r="D42" s="449">
        <v>327509</v>
      </c>
      <c r="E42" s="7"/>
      <c r="F42" s="426">
        <f>C42/'Ipoteze de lucru'!$C$15/12</f>
        <v>3758.900957984461</v>
      </c>
      <c r="G42" s="426">
        <f>D42/'Ipoteze de lucru'!$C$19/12</f>
        <v>5974.5663769765697</v>
      </c>
      <c r="H42" s="7"/>
      <c r="I42" s="389">
        <f>(C42/'Ipoteze de lucru'!$C$15+D42/'Ipoteze de lucru'!$C$19)/2</f>
        <v>58400.804009766187</v>
      </c>
      <c r="J42" s="414" t="s">
        <v>322</v>
      </c>
    </row>
    <row r="43" spans="1:10" x14ac:dyDescent="0.2">
      <c r="A43" s="414"/>
      <c r="B43" s="425" t="s">
        <v>180</v>
      </c>
      <c r="C43" s="449">
        <v>406837</v>
      </c>
      <c r="D43" s="449">
        <v>89300</v>
      </c>
      <c r="E43" s="7"/>
      <c r="F43" s="426">
        <f>C43/'Ipoteze de lucru'!$C$15/12</f>
        <v>7672.1166176359666</v>
      </c>
      <c r="G43" s="426">
        <f>D43/'Ipoteze de lucru'!$C$19/12</f>
        <v>1629.0507359004107</v>
      </c>
      <c r="H43" s="7"/>
      <c r="I43" s="389">
        <f>(C43/'Ipoteze de lucru'!$C$15+D43/'Ipoteze de lucru'!$C$19)/2</f>
        <v>55807.00412121827</v>
      </c>
      <c r="J43" s="414" t="s">
        <v>322</v>
      </c>
    </row>
    <row r="44" spans="1:10" x14ac:dyDescent="0.2">
      <c r="A44" s="414"/>
      <c r="B44" s="425" t="s">
        <v>181</v>
      </c>
      <c r="C44" s="214"/>
      <c r="D44" s="214"/>
      <c r="E44" s="7"/>
      <c r="F44" s="7"/>
      <c r="G44" s="7"/>
      <c r="H44" s="7"/>
      <c r="I44" s="199"/>
    </row>
    <row r="45" spans="1:10" x14ac:dyDescent="0.2">
      <c r="A45" s="414"/>
      <c r="B45" s="432" t="s">
        <v>248</v>
      </c>
      <c r="C45" s="451">
        <v>207999</v>
      </c>
      <c r="D45" s="319">
        <v>0</v>
      </c>
      <c r="E45" s="7"/>
      <c r="F45" s="426">
        <f>C45/'Ipoteze de lucru'!$C$15/12</f>
        <v>3922.4372029871015</v>
      </c>
      <c r="G45" s="426">
        <f>D45/'Ipoteze de lucru'!$C$19/12</f>
        <v>0</v>
      </c>
      <c r="H45" s="429"/>
      <c r="I45" s="199"/>
    </row>
    <row r="46" spans="1:10" x14ac:dyDescent="0.2">
      <c r="A46" s="414"/>
      <c r="B46" s="424" t="s">
        <v>152</v>
      </c>
      <c r="C46" s="319">
        <f t="shared" ref="C46" si="2">SUM(C47:C49)</f>
        <v>3131847</v>
      </c>
      <c r="D46" s="319">
        <f>SUM(D47:D49)</f>
        <v>511309</v>
      </c>
      <c r="E46" s="7"/>
      <c r="F46" s="388">
        <f t="shared" ref="F46:G46" si="3">SUM(F47:F49)</f>
        <v>59060.251188051603</v>
      </c>
      <c r="G46" s="388">
        <f t="shared" si="3"/>
        <v>9327.5285859182877</v>
      </c>
      <c r="H46" s="7"/>
      <c r="I46" s="390">
        <f>SUM(I47:I49)</f>
        <v>111930.34303101945</v>
      </c>
    </row>
    <row r="47" spans="1:10" x14ac:dyDescent="0.2">
      <c r="A47" s="414"/>
      <c r="B47" s="425" t="s">
        <v>241</v>
      </c>
      <c r="C47" s="449">
        <v>2506000</v>
      </c>
      <c r="D47" s="449">
        <v>106300</v>
      </c>
      <c r="E47" s="7"/>
      <c r="F47" s="426">
        <f>C47/'Ipoteze de lucru'!$C$15/12</f>
        <v>47258.052349702048</v>
      </c>
      <c r="G47" s="426">
        <f>D47/'Ipoteze de lucru'!$C$19/12</f>
        <v>1939.1723765533445</v>
      </c>
      <c r="H47" s="429"/>
      <c r="I47" s="391">
        <f>D47/'Ipoteze de lucru'!$C$19</f>
        <v>23270.068518640135</v>
      </c>
      <c r="J47" s="414" t="s">
        <v>325</v>
      </c>
    </row>
    <row r="48" spans="1:10" x14ac:dyDescent="0.2">
      <c r="A48" s="414"/>
      <c r="B48" s="425" t="s">
        <v>255</v>
      </c>
      <c r="C48" s="449">
        <v>589040</v>
      </c>
      <c r="D48" s="449">
        <v>405009</v>
      </c>
      <c r="E48" s="7"/>
      <c r="F48" s="426">
        <f>C48/'Ipoteze de lucru'!$C$15/12</f>
        <v>11108.093837218075</v>
      </c>
      <c r="G48" s="426">
        <f>D48/'Ipoteze de lucru'!$C$19/12</f>
        <v>7388.3562093649425</v>
      </c>
      <c r="H48" s="429"/>
      <c r="I48" s="391">
        <f>D48/'Ipoteze de lucru'!$C$19</f>
        <v>88660.274512379314</v>
      </c>
      <c r="J48" s="414" t="s">
        <v>325</v>
      </c>
    </row>
    <row r="49" spans="1:10" x14ac:dyDescent="0.2">
      <c r="A49" s="414"/>
      <c r="B49" s="425" t="s">
        <v>182</v>
      </c>
      <c r="C49" s="449">
        <v>36807</v>
      </c>
      <c r="D49" s="214">
        <v>0</v>
      </c>
      <c r="E49" s="7"/>
      <c r="F49" s="426">
        <f>C49/'Ipoteze de lucru'!$C$15/12</f>
        <v>694.10500113147782</v>
      </c>
      <c r="G49" s="426">
        <f>D49/'Ipoteze de lucru'!$C$19/12</f>
        <v>0</v>
      </c>
      <c r="H49" s="7"/>
      <c r="I49" s="433">
        <f>D49/'Ipoteze de lucru'!$C$19</f>
        <v>0</v>
      </c>
      <c r="J49" s="415" t="s">
        <v>329</v>
      </c>
    </row>
    <row r="50" spans="1:10" x14ac:dyDescent="0.2">
      <c r="A50" s="414"/>
      <c r="B50" s="424" t="s">
        <v>123</v>
      </c>
      <c r="C50" s="451">
        <v>87200</v>
      </c>
      <c r="D50" s="319">
        <v>0</v>
      </c>
      <c r="E50" s="7"/>
      <c r="F50" s="434">
        <f>C50/'Ipoteze de lucru'!$C$15/12</f>
        <v>1644.414271705514</v>
      </c>
      <c r="G50" s="434">
        <f>D50/'Ipoteze de lucru'!$C$19/12</f>
        <v>0</v>
      </c>
      <c r="H50" s="429"/>
    </row>
    <row r="51" spans="1:10" x14ac:dyDescent="0.2">
      <c r="A51" s="414"/>
      <c r="B51" s="424" t="s">
        <v>124</v>
      </c>
      <c r="C51" s="319">
        <f>SUM(C52:C53)</f>
        <v>1240982</v>
      </c>
      <c r="D51" s="319">
        <f>SUM(D52:D53)</f>
        <v>175005</v>
      </c>
      <c r="E51" s="7"/>
      <c r="F51" s="388">
        <f t="shared" ref="F51:G51" si="4">SUM(F52:F53)</f>
        <v>23402.391189560232</v>
      </c>
      <c r="G51" s="388">
        <f t="shared" si="4"/>
        <v>3192.5198660274509</v>
      </c>
      <c r="H51" s="7"/>
      <c r="I51" s="389"/>
    </row>
    <row r="52" spans="1:10" x14ac:dyDescent="0.2">
      <c r="A52" s="414"/>
      <c r="B52" s="425" t="s">
        <v>97</v>
      </c>
      <c r="C52" s="449">
        <v>244682</v>
      </c>
      <c r="D52" s="449">
        <v>63999</v>
      </c>
      <c r="E52" s="7"/>
      <c r="F52" s="426">
        <f>C52/'Ipoteze de lucru'!$C$15/12</f>
        <v>4614.2038168514746</v>
      </c>
      <c r="G52" s="426">
        <f>D52/'Ipoteze de lucru'!$C$19/12</f>
        <v>1167.4985223615945</v>
      </c>
      <c r="H52" s="429"/>
      <c r="I52" s="391"/>
    </row>
    <row r="53" spans="1:10" x14ac:dyDescent="0.2">
      <c r="A53" s="414"/>
      <c r="B53" s="425" t="s">
        <v>237</v>
      </c>
      <c r="C53" s="449">
        <v>996300</v>
      </c>
      <c r="D53" s="449">
        <v>111006</v>
      </c>
      <c r="E53" s="7"/>
      <c r="F53" s="426">
        <f>C53/'Ipoteze de lucru'!$C$15/12</f>
        <v>18788.187372708759</v>
      </c>
      <c r="G53" s="426">
        <f>D53/'Ipoteze de lucru'!$C$19/12</f>
        <v>2025.0213436658566</v>
      </c>
      <c r="H53" s="7"/>
      <c r="I53" s="391"/>
    </row>
    <row r="54" spans="1:10" x14ac:dyDescent="0.2">
      <c r="A54" s="414"/>
      <c r="B54" s="424" t="s">
        <v>238</v>
      </c>
      <c r="C54" s="319"/>
      <c r="D54" s="319">
        <v>0</v>
      </c>
      <c r="E54" s="7"/>
      <c r="F54" s="7"/>
      <c r="G54" s="7"/>
      <c r="H54" s="7"/>
    </row>
    <row r="55" spans="1:10" x14ac:dyDescent="0.2">
      <c r="A55" s="414"/>
      <c r="B55" s="424" t="s">
        <v>3</v>
      </c>
      <c r="C55" s="319">
        <f>C4+C6+C14+C17+C19+C21+C45+C46+C50+C51+C54</f>
        <v>34581539</v>
      </c>
      <c r="D55" s="319">
        <f>D4+D6+D14+D17+D19+D21+D45+D46+D50+D51+D54</f>
        <v>21539594</v>
      </c>
      <c r="E55" s="435"/>
      <c r="F55" s="388"/>
      <c r="G55" s="388"/>
      <c r="H55" s="436" t="s">
        <v>270</v>
      </c>
      <c r="I55" s="390">
        <f>I21+I46</f>
        <v>1045518.1943280236</v>
      </c>
    </row>
    <row r="56" spans="1:10" x14ac:dyDescent="0.2">
      <c r="A56" s="414"/>
      <c r="B56" s="437" t="s">
        <v>196</v>
      </c>
      <c r="C56" s="17"/>
      <c r="D56" s="17"/>
      <c r="E56" s="435"/>
      <c r="F56" s="435"/>
      <c r="G56" s="435"/>
      <c r="H56" s="436" t="s">
        <v>271</v>
      </c>
      <c r="I56" s="390">
        <f>I55/12</f>
        <v>87126.516194001961</v>
      </c>
    </row>
    <row r="57" spans="1:10" x14ac:dyDescent="0.2">
      <c r="A57" s="414"/>
      <c r="C57" s="438"/>
      <c r="D57" s="438"/>
      <c r="E57" s="435"/>
      <c r="F57" s="435"/>
      <c r="G57" s="435"/>
      <c r="H57" s="435"/>
    </row>
    <row r="58" spans="1:10" x14ac:dyDescent="0.2">
      <c r="A58" s="414"/>
      <c r="B58" s="17" t="s">
        <v>236</v>
      </c>
      <c r="C58" s="439">
        <f>SUM(C60:C62)</f>
        <v>16126904</v>
      </c>
      <c r="D58" s="439">
        <f>SUM(D60:D62)</f>
        <v>18142739</v>
      </c>
      <c r="E58" s="17"/>
      <c r="F58" s="17"/>
      <c r="G58" s="17"/>
      <c r="H58" s="17"/>
    </row>
    <row r="59" spans="1:10" x14ac:dyDescent="0.2">
      <c r="A59" s="414"/>
      <c r="B59" s="440" t="s">
        <v>251</v>
      </c>
      <c r="C59" s="439"/>
      <c r="D59" s="439"/>
      <c r="E59" s="17"/>
      <c r="F59" s="17"/>
      <c r="G59" s="17"/>
      <c r="H59" s="17"/>
    </row>
    <row r="60" spans="1:10" x14ac:dyDescent="0.2">
      <c r="A60" s="414"/>
      <c r="B60" s="441" t="s">
        <v>231</v>
      </c>
      <c r="C60" s="452">
        <v>15388900</v>
      </c>
      <c r="D60" s="452">
        <v>15627006</v>
      </c>
      <c r="E60" s="17"/>
      <c r="F60" s="17"/>
      <c r="G60" s="17"/>
      <c r="H60" s="17"/>
    </row>
    <row r="61" spans="1:10" x14ac:dyDescent="0.2">
      <c r="A61" s="414"/>
      <c r="B61" s="441" t="s">
        <v>233</v>
      </c>
      <c r="C61" s="442">
        <v>0</v>
      </c>
      <c r="D61" s="452">
        <v>6333</v>
      </c>
      <c r="E61" s="17"/>
      <c r="F61" s="17"/>
      <c r="G61" s="17"/>
      <c r="H61" s="17"/>
    </row>
    <row r="62" spans="1:10" x14ac:dyDescent="0.2">
      <c r="A62" s="414"/>
      <c r="B62" s="441" t="s">
        <v>232</v>
      </c>
      <c r="C62" s="452">
        <v>738004</v>
      </c>
      <c r="D62" s="452">
        <v>2509400</v>
      </c>
      <c r="E62" s="17"/>
      <c r="F62" s="17"/>
      <c r="G62" s="17"/>
      <c r="H62" s="17"/>
    </row>
    <row r="63" spans="1:10" x14ac:dyDescent="0.2">
      <c r="A63" s="414"/>
      <c r="B63" s="441" t="s">
        <v>230</v>
      </c>
      <c r="C63" s="452">
        <v>6502444</v>
      </c>
      <c r="D63" s="452">
        <v>15377004</v>
      </c>
      <c r="E63" s="17"/>
      <c r="F63" s="17"/>
      <c r="G63" s="17"/>
      <c r="H63" s="17"/>
    </row>
    <row r="64" spans="1:10" x14ac:dyDescent="0.2">
      <c r="A64" s="414"/>
      <c r="B64" s="443" t="s">
        <v>234</v>
      </c>
      <c r="C64" s="439">
        <f>SUM(C60:C62)-C63</f>
        <v>9624460</v>
      </c>
      <c r="D64" s="439">
        <f>SUM(D60:D62)-D63</f>
        <v>2765735</v>
      </c>
      <c r="E64" s="17"/>
      <c r="F64" s="17"/>
      <c r="G64" s="17"/>
      <c r="H64" s="17"/>
    </row>
    <row r="65" spans="1:10" x14ac:dyDescent="0.2">
      <c r="A65" s="414"/>
      <c r="B65" s="443" t="s">
        <v>18</v>
      </c>
      <c r="C65" s="439">
        <f>SUM(C4,C6,C17,C19,C54)</f>
        <v>20084711</v>
      </c>
      <c r="D65" s="439">
        <f>SUM(D4,D6,D17,D19,D54)</f>
        <v>15283697</v>
      </c>
      <c r="E65" s="17"/>
      <c r="F65" s="17"/>
      <c r="G65" s="17"/>
      <c r="H65" s="17"/>
    </row>
    <row r="66" spans="1:10" x14ac:dyDescent="0.2">
      <c r="A66" s="414"/>
      <c r="B66" s="443" t="s">
        <v>239</v>
      </c>
      <c r="C66" s="439">
        <f>C64-C65</f>
        <v>-10460251</v>
      </c>
      <c r="D66" s="439">
        <f t="shared" ref="D66" si="5">D64-D65</f>
        <v>-12517962</v>
      </c>
      <c r="E66" s="17"/>
      <c r="F66" s="17"/>
      <c r="G66" s="17"/>
      <c r="H66" s="17"/>
    </row>
    <row r="67" spans="1:10" x14ac:dyDescent="0.2">
      <c r="A67" s="414"/>
      <c r="B67" s="17" t="s">
        <v>235</v>
      </c>
      <c r="C67" s="439">
        <f>C64-C55</f>
        <v>-24957079</v>
      </c>
      <c r="D67" s="439">
        <f>D64-D55</f>
        <v>-18773859</v>
      </c>
      <c r="E67" s="17"/>
      <c r="F67" s="17"/>
      <c r="G67" s="17"/>
      <c r="H67" s="17"/>
    </row>
    <row r="68" spans="1:10" x14ac:dyDescent="0.2">
      <c r="A68" s="414"/>
      <c r="B68" s="17"/>
      <c r="C68" s="17"/>
      <c r="D68" s="17"/>
      <c r="E68" s="17"/>
      <c r="F68" s="17"/>
      <c r="G68" s="17"/>
      <c r="H68" s="17"/>
    </row>
    <row r="69" spans="1:10" x14ac:dyDescent="0.2">
      <c r="A69" s="414"/>
      <c r="B69" s="17"/>
      <c r="C69" s="17"/>
      <c r="D69" s="17"/>
      <c r="E69" s="17"/>
      <c r="F69" s="17"/>
      <c r="G69" s="17"/>
      <c r="H69" s="17"/>
    </row>
    <row r="70" spans="1:10" x14ac:dyDescent="0.2">
      <c r="B70" s="17"/>
      <c r="C70" s="439"/>
      <c r="D70" s="439"/>
      <c r="E70" s="17"/>
      <c r="F70" s="17"/>
      <c r="G70" s="17"/>
      <c r="H70" s="17"/>
    </row>
    <row r="71" spans="1:10" x14ac:dyDescent="0.2">
      <c r="B71" s="444" t="s">
        <v>240</v>
      </c>
      <c r="C71" s="445">
        <v>2013</v>
      </c>
      <c r="D71" s="445">
        <v>2017</v>
      </c>
      <c r="E71" s="17"/>
      <c r="F71" s="17"/>
      <c r="G71" s="17"/>
      <c r="H71" s="17"/>
    </row>
    <row r="72" spans="1:10" x14ac:dyDescent="0.2">
      <c r="B72" s="17" t="s">
        <v>264</v>
      </c>
      <c r="C72" s="453">
        <v>302800</v>
      </c>
      <c r="D72" s="453">
        <v>33555</v>
      </c>
      <c r="E72" s="17"/>
      <c r="F72" s="426">
        <f>C72/'Ipoteze de lucru'!$C$15/12</f>
        <v>5710.1908425737347</v>
      </c>
      <c r="G72" s="426">
        <f>D72/'Ipoteze de lucru'!$C$19/12</f>
        <v>612.12539130054063</v>
      </c>
      <c r="H72" s="17"/>
      <c r="I72" s="433">
        <v>0</v>
      </c>
      <c r="J72" s="415" t="s">
        <v>330</v>
      </c>
    </row>
    <row r="73" spans="1:10" x14ac:dyDescent="0.2">
      <c r="B73" s="17" t="s">
        <v>265</v>
      </c>
      <c r="C73" s="453">
        <v>111050</v>
      </c>
      <c r="D73" s="453">
        <v>209741</v>
      </c>
      <c r="E73" s="17"/>
      <c r="F73" s="426">
        <f>C73/'Ipoteze de lucru'!$C$15/12</f>
        <v>2094.1766613864374</v>
      </c>
      <c r="G73" s="426">
        <f>D73/'Ipoteze de lucru'!$C$19/12</f>
        <v>3826.1895901286457</v>
      </c>
      <c r="H73" s="17"/>
      <c r="I73" s="389">
        <f>(C73/'Ipoteze de lucru'!$C$15+D73/'Ipoteze de lucru'!$C$19)/2</f>
        <v>35522.197509090496</v>
      </c>
      <c r="J73" s="414" t="s">
        <v>322</v>
      </c>
    </row>
    <row r="74" spans="1:10" x14ac:dyDescent="0.2">
      <c r="B74" s="17" t="s">
        <v>266</v>
      </c>
      <c r="C74" s="453">
        <v>298666</v>
      </c>
      <c r="D74" s="453">
        <v>65406</v>
      </c>
      <c r="E74" s="17"/>
      <c r="F74" s="426">
        <f>C74/'Ipoteze de lucru'!$C$15/12</f>
        <v>5632.2320283623749</v>
      </c>
      <c r="G74" s="426">
        <f>D74/'Ipoteze de lucru'!$C$19/12</f>
        <v>1193.1656487379873</v>
      </c>
      <c r="H74" s="17"/>
      <c r="I74" s="433">
        <v>0</v>
      </c>
      <c r="J74" s="415" t="s">
        <v>331</v>
      </c>
    </row>
    <row r="75" spans="1:10" x14ac:dyDescent="0.2">
      <c r="B75" s="17" t="s">
        <v>267</v>
      </c>
      <c r="C75" s="453">
        <v>775209</v>
      </c>
      <c r="D75" s="453">
        <v>555039</v>
      </c>
      <c r="E75" s="17"/>
      <c r="F75" s="426">
        <f>C75/'Ipoteze de lucru'!$C$15/12</f>
        <v>14618.861733423853</v>
      </c>
      <c r="G75" s="426">
        <f>D75/'Ipoteze de lucru'!$C$19/12</f>
        <v>10125.270900374335</v>
      </c>
      <c r="H75" s="17"/>
      <c r="I75" s="433">
        <v>0</v>
      </c>
      <c r="J75" s="415" t="s">
        <v>330</v>
      </c>
    </row>
    <row r="76" spans="1:10" x14ac:dyDescent="0.2">
      <c r="B76" s="17" t="s">
        <v>268</v>
      </c>
      <c r="C76" s="453">
        <v>73204</v>
      </c>
      <c r="D76" s="453">
        <v>15666</v>
      </c>
      <c r="E76" s="17"/>
      <c r="F76" s="426">
        <f>C76/'Ipoteze de lucru'!$C$15/12</f>
        <v>1380.4782379120468</v>
      </c>
      <c r="G76" s="426">
        <f>D76/'Ipoteze de lucru'!$C$19/12</f>
        <v>285.78621308640351</v>
      </c>
      <c r="H76" s="17"/>
      <c r="I76" s="389">
        <f>(C76/'Ipoteze de lucru'!$C$15+D76/'Ipoteze de lucru'!$C$19)/2</f>
        <v>9997.5867059907014</v>
      </c>
      <c r="J76" s="414" t="s">
        <v>322</v>
      </c>
    </row>
    <row r="77" spans="1:10" x14ac:dyDescent="0.2">
      <c r="B77" s="17" t="s">
        <v>269</v>
      </c>
      <c r="C77" s="454">
        <v>481200</v>
      </c>
      <c r="D77" s="454">
        <v>206300</v>
      </c>
      <c r="E77" s="17"/>
      <c r="F77" s="446">
        <f>C77/'Ipoteze de lucru'!$C$15/12</f>
        <v>9074.451233310705</v>
      </c>
      <c r="G77" s="446">
        <f>D77/'Ipoteze de lucru'!$C$19/12</f>
        <v>3763.4173215706014</v>
      </c>
      <c r="H77" s="17"/>
      <c r="I77" s="447">
        <v>0</v>
      </c>
      <c r="J77" s="415" t="s">
        <v>330</v>
      </c>
    </row>
    <row r="78" spans="1:10" x14ac:dyDescent="0.2">
      <c r="B78" s="17"/>
      <c r="C78" s="442">
        <f>SUM(C71:C77)</f>
        <v>2044142</v>
      </c>
      <c r="D78" s="442">
        <f>SUM(D71:D77)</f>
        <v>1087724</v>
      </c>
      <c r="E78" s="17"/>
      <c r="F78" s="448">
        <f>SUM(F72:F77)</f>
        <v>38510.390736969159</v>
      </c>
      <c r="G78" s="448">
        <f>SUM(G72:G77)</f>
        <v>19805.955065198512</v>
      </c>
      <c r="H78" s="17"/>
      <c r="I78" s="448">
        <f>SUM(I72:I77)</f>
        <v>45519.784215081199</v>
      </c>
    </row>
    <row r="79" spans="1:10" x14ac:dyDescent="0.2">
      <c r="B79" s="17"/>
      <c r="C79" s="17"/>
      <c r="D79" s="17"/>
      <c r="E79" s="17"/>
      <c r="F79" s="17"/>
      <c r="G79" s="17"/>
      <c r="H79" s="17"/>
    </row>
    <row r="80" spans="1:10" x14ac:dyDescent="0.2">
      <c r="B80" s="17"/>
      <c r="C80" s="17"/>
      <c r="D80" s="17"/>
      <c r="E80" s="17"/>
      <c r="F80" s="17"/>
      <c r="G80" s="17"/>
      <c r="H80" s="17"/>
    </row>
    <row r="81" spans="2:8" x14ac:dyDescent="0.2">
      <c r="B81" s="17"/>
      <c r="C81" s="17"/>
      <c r="D81" s="17"/>
      <c r="E81" s="17"/>
      <c r="F81" s="17"/>
      <c r="G81" s="17"/>
      <c r="H81" s="17"/>
    </row>
    <row r="82" spans="2:8" x14ac:dyDescent="0.2">
      <c r="B82" s="17"/>
      <c r="C82" s="17"/>
      <c r="D82" s="17"/>
      <c r="E82" s="17"/>
      <c r="F82" s="17"/>
      <c r="G82" s="17"/>
      <c r="H82" s="17"/>
    </row>
    <row r="83" spans="2:8" x14ac:dyDescent="0.2">
      <c r="B83" s="17"/>
      <c r="C83" s="17"/>
      <c r="D83" s="17"/>
      <c r="E83" s="17"/>
      <c r="F83" s="17"/>
      <c r="G83" s="17"/>
      <c r="H83" s="17"/>
    </row>
    <row r="84" spans="2:8" x14ac:dyDescent="0.2">
      <c r="B84" s="17"/>
      <c r="C84" s="17"/>
      <c r="D84" s="17"/>
      <c r="E84" s="17"/>
      <c r="F84" s="17"/>
      <c r="G84" s="17"/>
      <c r="H84" s="17"/>
    </row>
    <row r="85" spans="2:8" x14ac:dyDescent="0.2">
      <c r="B85" s="17"/>
      <c r="C85" s="17"/>
      <c r="D85" s="17"/>
      <c r="E85" s="17"/>
      <c r="F85" s="17"/>
      <c r="G85" s="17"/>
      <c r="H85" s="17"/>
    </row>
    <row r="86" spans="2:8" x14ac:dyDescent="0.2">
      <c r="B86" s="17"/>
      <c r="C86" s="17"/>
      <c r="D86" s="17"/>
      <c r="E86" s="17"/>
      <c r="F86" s="17"/>
      <c r="G86" s="17"/>
      <c r="H86" s="17"/>
    </row>
    <row r="87" spans="2:8" x14ac:dyDescent="0.2">
      <c r="B87" s="17"/>
      <c r="C87" s="17"/>
      <c r="D87" s="17"/>
      <c r="E87" s="17"/>
      <c r="F87" s="17"/>
      <c r="G87" s="17"/>
      <c r="H87" s="17"/>
    </row>
    <row r="88" spans="2:8" x14ac:dyDescent="0.2">
      <c r="B88" s="17"/>
      <c r="C88" s="17"/>
      <c r="D88" s="17"/>
      <c r="E88" s="17"/>
      <c r="F88" s="17"/>
      <c r="G88" s="17"/>
      <c r="H88" s="17"/>
    </row>
    <row r="89" spans="2:8" x14ac:dyDescent="0.2">
      <c r="B89" s="17"/>
      <c r="C89" s="17"/>
      <c r="D89" s="17"/>
      <c r="E89" s="17"/>
      <c r="F89" s="17"/>
      <c r="G89" s="17"/>
      <c r="H89" s="17"/>
    </row>
    <row r="90" spans="2:8" x14ac:dyDescent="0.2">
      <c r="B90" s="17"/>
      <c r="C90" s="17"/>
      <c r="D90" s="17"/>
      <c r="E90" s="17"/>
      <c r="F90" s="17"/>
      <c r="G90" s="17"/>
      <c r="H90" s="17"/>
    </row>
    <row r="91" spans="2:8" x14ac:dyDescent="0.2">
      <c r="B91" s="17"/>
      <c r="C91" s="17"/>
      <c r="D91" s="17"/>
      <c r="E91" s="17"/>
      <c r="F91" s="17"/>
      <c r="G91" s="17"/>
      <c r="H91" s="17"/>
    </row>
    <row r="92" spans="2:8" x14ac:dyDescent="0.2">
      <c r="B92" s="17"/>
      <c r="C92" s="17"/>
      <c r="D92" s="17"/>
      <c r="E92" s="17"/>
      <c r="F92" s="17"/>
      <c r="G92" s="17"/>
      <c r="H92" s="17"/>
    </row>
    <row r="93" spans="2:8" x14ac:dyDescent="0.2">
      <c r="B93" s="17"/>
      <c r="C93" s="17"/>
      <c r="D93" s="17"/>
      <c r="E93" s="17"/>
      <c r="F93" s="17"/>
      <c r="G93" s="17"/>
      <c r="H93" s="17"/>
    </row>
    <row r="94" spans="2:8" x14ac:dyDescent="0.2">
      <c r="B94" s="17"/>
      <c r="C94" s="17"/>
      <c r="D94" s="17"/>
      <c r="E94" s="17"/>
      <c r="F94" s="17"/>
      <c r="G94" s="17"/>
      <c r="H94" s="17"/>
    </row>
    <row r="95" spans="2:8" x14ac:dyDescent="0.2">
      <c r="B95" s="17"/>
      <c r="C95" s="17"/>
      <c r="D95" s="17"/>
      <c r="E95" s="17"/>
      <c r="F95" s="17"/>
      <c r="G95" s="17"/>
      <c r="H95" s="17"/>
    </row>
    <row r="96" spans="2:8" x14ac:dyDescent="0.2">
      <c r="B96" s="17"/>
      <c r="C96" s="17"/>
      <c r="D96" s="17"/>
      <c r="E96" s="17"/>
      <c r="F96" s="17"/>
      <c r="G96" s="17"/>
      <c r="H96" s="17"/>
    </row>
    <row r="97" spans="2:8" x14ac:dyDescent="0.2">
      <c r="B97" s="17"/>
      <c r="C97" s="17"/>
      <c r="D97" s="17"/>
      <c r="E97" s="17"/>
      <c r="F97" s="17"/>
      <c r="G97" s="17"/>
      <c r="H97" s="17"/>
    </row>
    <row r="98" spans="2:8" x14ac:dyDescent="0.2">
      <c r="B98" s="17"/>
      <c r="C98" s="17"/>
      <c r="D98" s="17"/>
      <c r="E98" s="17"/>
      <c r="F98" s="17"/>
      <c r="G98" s="17"/>
      <c r="H98" s="17"/>
    </row>
    <row r="99" spans="2:8" x14ac:dyDescent="0.2">
      <c r="B99" s="17"/>
      <c r="C99" s="17"/>
      <c r="D99" s="17"/>
      <c r="E99" s="17"/>
      <c r="F99" s="17"/>
      <c r="G99" s="17"/>
      <c r="H99" s="17"/>
    </row>
    <row r="100" spans="2:8" x14ac:dyDescent="0.2">
      <c r="B100" s="17"/>
      <c r="C100" s="17"/>
      <c r="D100" s="17"/>
      <c r="E100" s="17"/>
      <c r="F100" s="17"/>
      <c r="G100" s="17"/>
      <c r="H100" s="17"/>
    </row>
    <row r="101" spans="2:8" x14ac:dyDescent="0.2">
      <c r="B101" s="17"/>
      <c r="C101" s="17"/>
      <c r="D101" s="17"/>
      <c r="E101" s="17"/>
      <c r="F101" s="17"/>
      <c r="G101" s="17"/>
      <c r="H101" s="17"/>
    </row>
    <row r="102" spans="2:8" x14ac:dyDescent="0.2">
      <c r="B102" s="17"/>
      <c r="C102" s="17"/>
      <c r="D102" s="17"/>
      <c r="E102" s="17"/>
      <c r="F102" s="17"/>
      <c r="G102" s="17"/>
      <c r="H102" s="17"/>
    </row>
    <row r="103" spans="2:8" x14ac:dyDescent="0.2">
      <c r="B103" s="17"/>
      <c r="C103" s="17"/>
      <c r="D103" s="17"/>
      <c r="E103" s="17"/>
      <c r="F103" s="17"/>
      <c r="G103" s="17"/>
      <c r="H103" s="17"/>
    </row>
    <row r="104" spans="2:8" x14ac:dyDescent="0.2">
      <c r="E104" s="17"/>
      <c r="F104" s="17"/>
      <c r="G104" s="17"/>
      <c r="H104" s="17"/>
    </row>
    <row r="105" spans="2:8" x14ac:dyDescent="0.2">
      <c r="E105" s="17"/>
      <c r="F105" s="17"/>
      <c r="G105" s="17"/>
      <c r="H105" s="17"/>
    </row>
  </sheetData>
  <mergeCells count="2">
    <mergeCell ref="I2:I4"/>
    <mergeCell ref="J2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Sumar</vt:lpstr>
      <vt:lpstr>Matrice de alocare</vt:lpstr>
      <vt:lpstr>Ipoteze de lucru</vt:lpstr>
      <vt:lpstr>1. CAPEX</vt:lpstr>
      <vt:lpstr>3. OPEX 2017</vt:lpstr>
      <vt:lpstr>4. Capacitati de retea</vt:lpstr>
      <vt:lpstr>OPEX</vt:lpstr>
      <vt:lpstr>CAPEX 2013</vt:lpstr>
      <vt:lpstr>Capacitati 2017</vt:lpstr>
      <vt:lpstr>Alte servicii</vt:lpstr>
      <vt:lpstr>Materiale</vt:lpstr>
      <vt:lpstr>constant</vt:lpstr>
      <vt:lpstr>max</vt:lpstr>
      <vt:lpstr>'1. CAPEX'!Print_Area</vt:lpstr>
      <vt:lpstr>RF</vt:lpstr>
      <vt:lpstr>SSP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Alina Daniela Sumudica</cp:lastModifiedBy>
  <cp:lastPrinted>2017-01-20T07:21:03Z</cp:lastPrinted>
  <dcterms:created xsi:type="dcterms:W3CDTF">2013-06-06T08:54:54Z</dcterms:created>
  <dcterms:modified xsi:type="dcterms:W3CDTF">2018-10-01T13:38:35Z</dcterms:modified>
</cp:coreProperties>
</file>